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W:\保険料担当\020_【賦課】\3.試算\簡易試算シート\R8\"/>
    </mc:Choice>
  </mc:AlternateContent>
  <workbookProtection workbookAlgorithmName="SHA-512" workbookHashValue="Z9pfIdhObi8kDBo+2Cz8vRVxPA07SekisfbHRFuaZMJKOS/IVg8s3EMVto0iZDXaKuV7v3AZ5FC+NSDxZHc4wA==" workbookSaltValue="rv2hBy9ZiLQ+PrZjf2TWOg==" workbookSpinCount="100000" lockStructure="1"/>
  <bookViews>
    <workbookView xWindow="0" yWindow="0" windowWidth="9360" windowHeight="6240"/>
  </bookViews>
  <sheets>
    <sheet name="簡易試算シート" sheetId="1" r:id="rId1"/>
    <sheet name="計算処理用（入力不可）" sheetId="2" state="hidden" r:id="rId2"/>
    <sheet name="エクセルを修正する際の注意（職員向）" sheetId="3" state="hidden" r:id="rId3"/>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T181" i="2" l="1"/>
  <c r="AT156" i="2"/>
  <c r="AT131" i="2"/>
  <c r="AT106" i="2"/>
  <c r="AG231" i="2" l="1"/>
  <c r="AB242" i="2"/>
  <c r="AM242" i="2"/>
  <c r="AL242" i="2"/>
  <c r="AK242" i="2"/>
  <c r="AJ242" i="2"/>
  <c r="AI242" i="2"/>
  <c r="AH242" i="2"/>
  <c r="AG242" i="2"/>
  <c r="AF242" i="2"/>
  <c r="AE242" i="2"/>
  <c r="AD242" i="2"/>
  <c r="AC242" i="2"/>
  <c r="AL231" i="2"/>
  <c r="AM231" i="2"/>
  <c r="AB220" i="2"/>
  <c r="AE3" i="2" l="1"/>
  <c r="AE4" i="2"/>
  <c r="AE2" i="2"/>
  <c r="AM2" i="2"/>
  <c r="AL2" i="2"/>
  <c r="G94" i="2"/>
  <c r="G93" i="2"/>
  <c r="G92" i="2"/>
  <c r="G91" i="2"/>
  <c r="AK2" i="2" l="1"/>
  <c r="AJ2" i="2"/>
  <c r="AB209" i="2" s="1"/>
  <c r="AB231" i="2" l="1"/>
  <c r="G198" i="2" l="1"/>
  <c r="G199" i="2"/>
  <c r="G197" i="2"/>
  <c r="G196" i="2"/>
  <c r="G195" i="2"/>
  <c r="G194" i="2"/>
  <c r="G193" i="2"/>
  <c r="G192" i="2"/>
  <c r="G191" i="2"/>
  <c r="G174" i="2"/>
  <c r="G173" i="2"/>
  <c r="G172" i="2"/>
  <c r="G171" i="2"/>
  <c r="G170" i="2"/>
  <c r="G169" i="2"/>
  <c r="G168" i="2"/>
  <c r="G167" i="2"/>
  <c r="G166" i="2"/>
  <c r="G149" i="2"/>
  <c r="G148" i="2"/>
  <c r="G147" i="2"/>
  <c r="G146" i="2"/>
  <c r="G145" i="2"/>
  <c r="G144" i="2"/>
  <c r="G143" i="2"/>
  <c r="G142" i="2"/>
  <c r="G141" i="2"/>
  <c r="G124" i="2"/>
  <c r="G123" i="2"/>
  <c r="G122" i="2"/>
  <c r="G121" i="2"/>
  <c r="G120" i="2"/>
  <c r="G119" i="2"/>
  <c r="G118" i="2"/>
  <c r="G117" i="2"/>
  <c r="G116" i="2"/>
  <c r="G99" i="2"/>
  <c r="G98" i="2"/>
  <c r="G97" i="2"/>
  <c r="G96" i="2"/>
  <c r="G95" i="2"/>
  <c r="G74" i="2"/>
  <c r="G73" i="2"/>
  <c r="G72" i="2"/>
  <c r="G71" i="2"/>
  <c r="G70" i="2"/>
  <c r="G69" i="2"/>
  <c r="G68" i="2"/>
  <c r="G67" i="2"/>
  <c r="G66" i="2"/>
  <c r="G49" i="2"/>
  <c r="G48" i="2"/>
  <c r="G47" i="2"/>
  <c r="G46" i="2"/>
  <c r="G45" i="2"/>
  <c r="G44" i="2"/>
  <c r="G43" i="2"/>
  <c r="G42" i="2"/>
  <c r="G41" i="2"/>
  <c r="G24" i="2"/>
  <c r="G23" i="2"/>
  <c r="G22" i="2"/>
  <c r="G21" i="2"/>
  <c r="G20" i="2"/>
  <c r="G19" i="2"/>
  <c r="G18" i="2"/>
  <c r="G17" i="2"/>
  <c r="G16" i="2"/>
  <c r="AK231" i="2" l="1"/>
  <c r="AJ231" i="2"/>
  <c r="AI231" i="2"/>
  <c r="AH231" i="2"/>
  <c r="AF231" i="2"/>
  <c r="AE231" i="2"/>
  <c r="AD231" i="2"/>
  <c r="AC231" i="2"/>
  <c r="AM220" i="2" l="1"/>
  <c r="AL220" i="2"/>
  <c r="AK220" i="2"/>
  <c r="AJ220" i="2"/>
  <c r="AI220" i="2"/>
  <c r="AH220" i="2"/>
  <c r="AG220" i="2"/>
  <c r="AF220" i="2"/>
  <c r="AE220" i="2"/>
  <c r="AD220" i="2"/>
  <c r="AC220" i="2"/>
  <c r="AM209" i="2"/>
  <c r="AL209" i="2"/>
  <c r="AK209" i="2"/>
  <c r="AJ209" i="2"/>
  <c r="AI209" i="2"/>
  <c r="AH209" i="2"/>
  <c r="AG209" i="2"/>
  <c r="AF209" i="2"/>
  <c r="AE209" i="2"/>
  <c r="AD209" i="2"/>
  <c r="AC209" i="2"/>
  <c r="AN184" i="2" l="1"/>
  <c r="AN159" i="2"/>
  <c r="AN134" i="2"/>
  <c r="AN109" i="2"/>
  <c r="AN84" i="2"/>
  <c r="AN59" i="2"/>
  <c r="AN34" i="2" l="1"/>
  <c r="AI4" i="2" l="1"/>
  <c r="AH4" i="2"/>
  <c r="AG4" i="2"/>
  <c r="AI3" i="2"/>
  <c r="AH3" i="2"/>
  <c r="AG3" i="2"/>
  <c r="AI2" i="2"/>
  <c r="AH2" i="2"/>
  <c r="AG2" i="2"/>
  <c r="AB1" i="2"/>
  <c r="AN4" i="2"/>
  <c r="AN3" i="2" s="1"/>
  <c r="AZ4" i="2"/>
  <c r="AZ3" i="2" s="1"/>
  <c r="AY4" i="2"/>
  <c r="AX4" i="2"/>
  <c r="AX3" i="2" s="1"/>
  <c r="AW4" i="2"/>
  <c r="AV4" i="2"/>
  <c r="AV3" i="2" s="1"/>
  <c r="AU4" i="2"/>
  <c r="AT4" i="2"/>
  <c r="AT3" i="2" s="1"/>
  <c r="AS4" i="2"/>
  <c r="AR4" i="2"/>
  <c r="AR3" i="2" s="1"/>
  <c r="AQ4" i="2"/>
  <c r="AP4" i="2"/>
  <c r="AP3" i="2" s="1"/>
  <c r="AO4" i="2"/>
  <c r="AN9" i="2" l="1"/>
  <c r="AO3" i="2"/>
  <c r="AQ3" i="2"/>
  <c r="AS3" i="2"/>
  <c r="AU3" i="2"/>
  <c r="AW3" i="2"/>
  <c r="AY3" i="2"/>
  <c r="C182" i="2" l="1"/>
  <c r="AP184" i="2" s="1"/>
  <c r="C181" i="2"/>
  <c r="C180" i="2"/>
  <c r="H178" i="2" s="1"/>
  <c r="C179" i="2"/>
  <c r="AF185" i="2" s="1"/>
  <c r="C157" i="2"/>
  <c r="AP159" i="2" s="1"/>
  <c r="C156" i="2"/>
  <c r="C155" i="2"/>
  <c r="H153" i="2" s="1"/>
  <c r="C154" i="2"/>
  <c r="AF160" i="2" s="1"/>
  <c r="C132" i="2"/>
  <c r="AP134" i="2" s="1"/>
  <c r="C131" i="2"/>
  <c r="C130" i="2"/>
  <c r="H128" i="2" s="1"/>
  <c r="C129" i="2"/>
  <c r="AF135" i="2" s="1"/>
  <c r="C107" i="2"/>
  <c r="AP109" i="2" s="1"/>
  <c r="C106" i="2"/>
  <c r="C105" i="2"/>
  <c r="H103" i="2" s="1"/>
  <c r="C104" i="2"/>
  <c r="AF110" i="2" s="1"/>
  <c r="C82" i="2"/>
  <c r="AP84" i="2" s="1"/>
  <c r="C81" i="2"/>
  <c r="C80" i="2"/>
  <c r="H78" i="2" s="1"/>
  <c r="C79" i="2"/>
  <c r="AF85" i="2" s="1"/>
  <c r="C57" i="2"/>
  <c r="AP59" i="2" s="1"/>
  <c r="C56" i="2"/>
  <c r="C55" i="2"/>
  <c r="H53" i="2" s="1"/>
  <c r="C54" i="2"/>
  <c r="C32" i="2"/>
  <c r="AP34" i="2" s="1"/>
  <c r="C31" i="2"/>
  <c r="C30" i="2"/>
  <c r="H28" i="2" s="1"/>
  <c r="C29" i="2"/>
  <c r="AF35" i="2" s="1"/>
  <c r="C7" i="2"/>
  <c r="AP9" i="2" s="1"/>
  <c r="C6" i="2"/>
  <c r="C5" i="2"/>
  <c r="H3" i="2" s="1"/>
  <c r="C4" i="2"/>
  <c r="AF10" i="2" s="1"/>
  <c r="C3" i="2"/>
  <c r="G138" i="2" l="1"/>
  <c r="G137" i="2"/>
  <c r="H137" i="2" s="1"/>
  <c r="G131" i="2"/>
  <c r="H131" i="2" s="1"/>
  <c r="G130" i="2"/>
  <c r="H130" i="2" s="1"/>
  <c r="G106" i="2"/>
  <c r="H106" i="2" s="1"/>
  <c r="G112" i="2"/>
  <c r="H112" i="2" s="1"/>
  <c r="G105" i="2"/>
  <c r="H105" i="2" s="1"/>
  <c r="G188" i="2"/>
  <c r="G187" i="2"/>
  <c r="H187" i="2" s="1"/>
  <c r="G181" i="2"/>
  <c r="H181" i="2" s="1"/>
  <c r="G180" i="2"/>
  <c r="H180" i="2" s="1"/>
  <c r="G80" i="2"/>
  <c r="H80" i="2" s="1"/>
  <c r="G81" i="2"/>
  <c r="H81" i="2" s="1"/>
  <c r="G90" i="2"/>
  <c r="H90" i="2" s="1"/>
  <c r="G89" i="2"/>
  <c r="H89" i="2" s="1"/>
  <c r="G87" i="2"/>
  <c r="H87" i="2" s="1"/>
  <c r="G88" i="2"/>
  <c r="H88" i="2" s="1"/>
  <c r="G162" i="2"/>
  <c r="H162" i="2" s="1"/>
  <c r="G156" i="2"/>
  <c r="H156" i="2" s="1"/>
  <c r="G163" i="2"/>
  <c r="G155" i="2"/>
  <c r="H155" i="2" s="1"/>
  <c r="G64" i="2"/>
  <c r="G62" i="2"/>
  <c r="G56" i="2"/>
  <c r="H56" i="2" s="1"/>
  <c r="G55" i="2"/>
  <c r="G63" i="2"/>
  <c r="H63" i="2" s="1"/>
  <c r="AD60" i="2"/>
  <c r="AF60" i="2"/>
  <c r="G31" i="2"/>
  <c r="H31" i="2" s="1"/>
  <c r="G30" i="2"/>
  <c r="H30" i="2" s="1"/>
  <c r="G37" i="2"/>
  <c r="H37" i="2" s="1"/>
  <c r="G38" i="2"/>
  <c r="G5" i="2"/>
  <c r="H5" i="2" s="1"/>
  <c r="G6" i="2"/>
  <c r="H6" i="2" s="1"/>
  <c r="G12" i="2"/>
  <c r="H12" i="2" s="1"/>
  <c r="Z183" i="2"/>
  <c r="D177" i="2" s="1"/>
  <c r="Z158" i="2"/>
  <c r="D152" i="2" s="1"/>
  <c r="Z133" i="2"/>
  <c r="D127" i="2" s="1"/>
  <c r="Z108" i="2"/>
  <c r="D102" i="2" s="1"/>
  <c r="Z83" i="2"/>
  <c r="D77" i="2" s="1"/>
  <c r="Z58" i="2"/>
  <c r="D52" i="2" s="1"/>
  <c r="O53" i="2" s="1"/>
  <c r="Z33" i="2"/>
  <c r="Z8" i="2"/>
  <c r="B7" i="1" s="1"/>
  <c r="G190" i="2"/>
  <c r="G189" i="2"/>
  <c r="AB7" i="2"/>
  <c r="G14" i="2"/>
  <c r="G15" i="2"/>
  <c r="G13" i="2"/>
  <c r="G39" i="2"/>
  <c r="G40" i="2"/>
  <c r="G139" i="2"/>
  <c r="H139" i="2" s="1"/>
  <c r="G140" i="2"/>
  <c r="H140" i="2" s="1"/>
  <c r="H138" i="2"/>
  <c r="G164" i="2"/>
  <c r="H164" i="2" s="1"/>
  <c r="G165" i="2"/>
  <c r="H165" i="2" s="1"/>
  <c r="H163" i="2"/>
  <c r="G114" i="2"/>
  <c r="H114" i="2" s="1"/>
  <c r="G115" i="2"/>
  <c r="H115" i="2" s="1"/>
  <c r="G113" i="2"/>
  <c r="H113" i="2" s="1"/>
  <c r="H64" i="2"/>
  <c r="H62" i="2"/>
  <c r="G65" i="2"/>
  <c r="H65" i="2" s="1"/>
  <c r="H55" i="2"/>
  <c r="AD35" i="2"/>
  <c r="Z34" i="2"/>
  <c r="AA31" i="2"/>
  <c r="AB32" i="2"/>
  <c r="Z31" i="2"/>
  <c r="AA56" i="2"/>
  <c r="Z59" i="2"/>
  <c r="AB57" i="2"/>
  <c r="Z56" i="2"/>
  <c r="AD85" i="2"/>
  <c r="AA81" i="2"/>
  <c r="Z84" i="2"/>
  <c r="AB82" i="2"/>
  <c r="Z81" i="2"/>
  <c r="AD110" i="2"/>
  <c r="AA106" i="2"/>
  <c r="Z109" i="2"/>
  <c r="AB110" i="2" s="1"/>
  <c r="AB107" i="2"/>
  <c r="Z106" i="2"/>
  <c r="AD135" i="2"/>
  <c r="AA131" i="2"/>
  <c r="Z134" i="2"/>
  <c r="AB135" i="2" s="1"/>
  <c r="AB132" i="2"/>
  <c r="Z131" i="2"/>
  <c r="AD160" i="2"/>
  <c r="AA156" i="2"/>
  <c r="Z159" i="2"/>
  <c r="AB160" i="2" s="1"/>
  <c r="AB157" i="2"/>
  <c r="Z156" i="2"/>
  <c r="AD185" i="2"/>
  <c r="AA181" i="2"/>
  <c r="Z184" i="2"/>
  <c r="AB182" i="2"/>
  <c r="Z181" i="2"/>
  <c r="H190" i="2"/>
  <c r="H188" i="2"/>
  <c r="H189" i="2"/>
  <c r="Z9" i="2"/>
  <c r="AD10" i="2"/>
  <c r="Z6" i="2"/>
  <c r="AA6" i="2"/>
  <c r="O103" i="2" l="1"/>
  <c r="V103" i="2"/>
  <c r="B25" i="1"/>
  <c r="D27" i="2"/>
  <c r="V28" i="2" s="1"/>
  <c r="V178" i="2"/>
  <c r="AB185" i="2" s="1"/>
  <c r="O178" i="2"/>
  <c r="O153" i="2"/>
  <c r="V153" i="2"/>
  <c r="V128" i="2"/>
  <c r="O128" i="2"/>
  <c r="V78" i="2"/>
  <c r="O78" i="2"/>
  <c r="AB85" i="2" s="1"/>
  <c r="V53" i="2"/>
  <c r="AB60" i="2" s="1"/>
  <c r="D2" i="2"/>
  <c r="O3" i="2" s="1"/>
  <c r="AB56" i="2"/>
  <c r="AB6" i="2"/>
  <c r="AB222" i="2" s="1"/>
  <c r="AC182" i="2"/>
  <c r="AC7" i="2"/>
  <c r="AB198" i="2"/>
  <c r="AB181" i="2"/>
  <c r="AB156" i="2"/>
  <c r="AB131" i="2"/>
  <c r="AB106" i="2"/>
  <c r="AB81" i="2"/>
  <c r="AB31" i="2"/>
  <c r="AB223" i="2" s="1"/>
  <c r="AC157" i="2"/>
  <c r="AC132" i="2"/>
  <c r="AC107" i="2"/>
  <c r="AC82" i="2"/>
  <c r="AC57" i="2"/>
  <c r="AC32" i="2"/>
  <c r="H75" i="2"/>
  <c r="AS56" i="2" s="1"/>
  <c r="H100" i="2"/>
  <c r="V77" i="2" s="1"/>
  <c r="U97" i="2" s="1"/>
  <c r="V97" i="2" s="1"/>
  <c r="H200" i="2"/>
  <c r="H125" i="2"/>
  <c r="H150" i="2"/>
  <c r="H175" i="2"/>
  <c r="AC181" i="2" l="1"/>
  <c r="V3" i="2"/>
  <c r="AB10" i="2" s="1"/>
  <c r="O28" i="2"/>
  <c r="AB35" i="2" s="1"/>
  <c r="AD182" i="2"/>
  <c r="AC6" i="2"/>
  <c r="AD7" i="2"/>
  <c r="AD6" i="2" s="1"/>
  <c r="AD132" i="2"/>
  <c r="AD157" i="2"/>
  <c r="AC106" i="2"/>
  <c r="AC81" i="2"/>
  <c r="AD57" i="2"/>
  <c r="O52" i="2"/>
  <c r="N72" i="2" s="1"/>
  <c r="O72" i="2" s="1"/>
  <c r="AD32" i="2"/>
  <c r="AD31" i="2" s="1"/>
  <c r="AC56" i="2"/>
  <c r="AC131" i="2"/>
  <c r="AC156" i="2"/>
  <c r="O152" i="2"/>
  <c r="N172" i="2" s="1"/>
  <c r="O172" i="2" s="1"/>
  <c r="AS156" i="2"/>
  <c r="O102" i="2"/>
  <c r="N118" i="2" s="1"/>
  <c r="O118" i="2" s="1"/>
  <c r="AS106" i="2"/>
  <c r="O127" i="2"/>
  <c r="N147" i="2" s="1"/>
  <c r="O147" i="2" s="1"/>
  <c r="AS131" i="2"/>
  <c r="V177" i="2"/>
  <c r="U195" i="2" s="1"/>
  <c r="V195" i="2" s="1"/>
  <c r="AS181" i="2"/>
  <c r="AB197" i="2"/>
  <c r="AD82" i="2"/>
  <c r="AD107" i="2"/>
  <c r="AC31" i="2"/>
  <c r="AD56" i="2"/>
  <c r="O77" i="2"/>
  <c r="N95" i="2" s="1"/>
  <c r="O95" i="2" s="1"/>
  <c r="AS81" i="2"/>
  <c r="AC198" i="2"/>
  <c r="V152" i="2"/>
  <c r="U166" i="2" s="1"/>
  <c r="V166" i="2" s="1"/>
  <c r="O177" i="2"/>
  <c r="V102" i="2"/>
  <c r="U112" i="2" s="1"/>
  <c r="V112" i="2" s="1"/>
  <c r="U89" i="2"/>
  <c r="V89" i="2" s="1"/>
  <c r="U84" i="2"/>
  <c r="V84" i="2" s="1"/>
  <c r="U91" i="2"/>
  <c r="V91" i="2" s="1"/>
  <c r="V52" i="2"/>
  <c r="U57" i="2" s="1"/>
  <c r="V57" i="2" s="1"/>
  <c r="V127" i="2"/>
  <c r="U145" i="2" s="1"/>
  <c r="V145" i="2" s="1"/>
  <c r="N97" i="2"/>
  <c r="O97" i="2" s="1"/>
  <c r="U82" i="2"/>
  <c r="V82" i="2" s="1"/>
  <c r="U87" i="2"/>
  <c r="V87" i="2" s="1"/>
  <c r="U94" i="2"/>
  <c r="V94" i="2" s="1"/>
  <c r="U95" i="2"/>
  <c r="V95" i="2" s="1"/>
  <c r="U183" i="2"/>
  <c r="V183" i="2" s="1"/>
  <c r="U190" i="2"/>
  <c r="V190" i="2" s="1"/>
  <c r="U81" i="2"/>
  <c r="V81" i="2" s="1"/>
  <c r="U83" i="2"/>
  <c r="V83" i="2" s="1"/>
  <c r="U85" i="2"/>
  <c r="V85" i="2" s="1"/>
  <c r="U88" i="2"/>
  <c r="V88" i="2" s="1"/>
  <c r="U90" i="2"/>
  <c r="V90" i="2" s="1"/>
  <c r="U96" i="2"/>
  <c r="V96" i="2" s="1"/>
  <c r="U93" i="2"/>
  <c r="V93" i="2" s="1"/>
  <c r="U164" i="2"/>
  <c r="V164" i="2" s="1"/>
  <c r="U160" i="2"/>
  <c r="V160" i="2" s="1"/>
  <c r="U168" i="2"/>
  <c r="V168" i="2" s="1"/>
  <c r="U58" i="2" l="1"/>
  <c r="V58" i="2" s="1"/>
  <c r="U188" i="2"/>
  <c r="V188" i="2" s="1"/>
  <c r="AD181" i="2"/>
  <c r="U191" i="2"/>
  <c r="V191" i="2" s="1"/>
  <c r="U184" i="2"/>
  <c r="V184" i="2" s="1"/>
  <c r="N137" i="2"/>
  <c r="O137" i="2" s="1"/>
  <c r="N168" i="2"/>
  <c r="O168" i="2" s="1"/>
  <c r="N160" i="2"/>
  <c r="O160" i="2" s="1"/>
  <c r="N169" i="2"/>
  <c r="O169" i="2" s="1"/>
  <c r="N119" i="2"/>
  <c r="O119" i="2" s="1"/>
  <c r="AQ198" i="2"/>
  <c r="U165" i="2"/>
  <c r="V165" i="2" s="1"/>
  <c r="U156" i="2"/>
  <c r="V156" i="2" s="1"/>
  <c r="U162" i="2"/>
  <c r="V162" i="2" s="1"/>
  <c r="N64" i="2"/>
  <c r="O64" i="2" s="1"/>
  <c r="N145" i="2"/>
  <c r="O145" i="2" s="1"/>
  <c r="N165" i="2"/>
  <c r="O165" i="2" s="1"/>
  <c r="N156" i="2"/>
  <c r="O156" i="2" s="1"/>
  <c r="N157" i="2"/>
  <c r="O157" i="2" s="1"/>
  <c r="N159" i="2"/>
  <c r="O159" i="2" s="1"/>
  <c r="U189" i="2"/>
  <c r="V189" i="2" s="1"/>
  <c r="U181" i="2"/>
  <c r="V181" i="2" s="1"/>
  <c r="N164" i="2"/>
  <c r="O164" i="2" s="1"/>
  <c r="N68" i="2"/>
  <c r="O68" i="2" s="1"/>
  <c r="N70" i="2"/>
  <c r="O70" i="2" s="1"/>
  <c r="N60" i="2"/>
  <c r="O60" i="2" s="1"/>
  <c r="N66" i="2"/>
  <c r="O66" i="2" s="1"/>
  <c r="N132" i="2"/>
  <c r="O132" i="2" s="1"/>
  <c r="N144" i="2"/>
  <c r="O144" i="2" s="1"/>
  <c r="U113" i="2"/>
  <c r="V113" i="2" s="1"/>
  <c r="N65" i="2"/>
  <c r="O65" i="2" s="1"/>
  <c r="N56" i="2"/>
  <c r="O56" i="2" s="1"/>
  <c r="N62" i="2"/>
  <c r="O62" i="2" s="1"/>
  <c r="AD131" i="2"/>
  <c r="AE182" i="2"/>
  <c r="AE7" i="2"/>
  <c r="AE6" i="2" s="1"/>
  <c r="N134" i="2"/>
  <c r="O134" i="2" s="1"/>
  <c r="N139" i="2"/>
  <c r="O139" i="2" s="1"/>
  <c r="N141" i="2"/>
  <c r="O141" i="2" s="1"/>
  <c r="U71" i="2"/>
  <c r="V71" i="2" s="1"/>
  <c r="U62" i="2"/>
  <c r="V62" i="2" s="1"/>
  <c r="N106" i="2"/>
  <c r="O106" i="2" s="1"/>
  <c r="N131" i="2"/>
  <c r="O131" i="2" s="1"/>
  <c r="N133" i="2"/>
  <c r="O133" i="2" s="1"/>
  <c r="N135" i="2"/>
  <c r="O135" i="2" s="1"/>
  <c r="N138" i="2"/>
  <c r="O138" i="2" s="1"/>
  <c r="N140" i="2"/>
  <c r="O140" i="2" s="1"/>
  <c r="N146" i="2"/>
  <c r="O146" i="2" s="1"/>
  <c r="N143" i="2"/>
  <c r="O143" i="2" s="1"/>
  <c r="N171" i="2"/>
  <c r="O171" i="2" s="1"/>
  <c r="N163" i="2"/>
  <c r="O163" i="2" s="1"/>
  <c r="N158" i="2"/>
  <c r="O158" i="2" s="1"/>
  <c r="N170" i="2"/>
  <c r="O170" i="2" s="1"/>
  <c r="N162" i="2"/>
  <c r="O162" i="2" s="1"/>
  <c r="N107" i="2"/>
  <c r="O107" i="2" s="1"/>
  <c r="N166" i="2"/>
  <c r="O166" i="2" s="1"/>
  <c r="N122" i="2"/>
  <c r="O122" i="2" s="1"/>
  <c r="N120" i="2"/>
  <c r="O120" i="2" s="1"/>
  <c r="AE157" i="2"/>
  <c r="N71" i="2"/>
  <c r="O71" i="2" s="1"/>
  <c r="N63" i="2"/>
  <c r="O63" i="2" s="1"/>
  <c r="N58" i="2"/>
  <c r="O58" i="2" s="1"/>
  <c r="N69" i="2"/>
  <c r="O69" i="2" s="1"/>
  <c r="N57" i="2"/>
  <c r="O57" i="2" s="1"/>
  <c r="N59" i="2"/>
  <c r="O59" i="2" s="1"/>
  <c r="AD156" i="2"/>
  <c r="AE132" i="2"/>
  <c r="N112" i="2"/>
  <c r="O112" i="2" s="1"/>
  <c r="N113" i="2"/>
  <c r="O113" i="2" s="1"/>
  <c r="N110" i="2"/>
  <c r="O110" i="2" s="1"/>
  <c r="N88" i="2"/>
  <c r="O88" i="2" s="1"/>
  <c r="N89" i="2"/>
  <c r="O89" i="2" s="1"/>
  <c r="N116" i="2"/>
  <c r="O116" i="2" s="1"/>
  <c r="N114" i="2"/>
  <c r="O114" i="2" s="1"/>
  <c r="N109" i="2"/>
  <c r="O109" i="2" s="1"/>
  <c r="N121" i="2"/>
  <c r="O121" i="2" s="1"/>
  <c r="N108" i="2"/>
  <c r="O108" i="2" s="1"/>
  <c r="N115" i="2"/>
  <c r="O115" i="2" s="1"/>
  <c r="AD198" i="2"/>
  <c r="AE57" i="2"/>
  <c r="N183" i="2"/>
  <c r="O183" i="2" s="1"/>
  <c r="N184" i="2"/>
  <c r="O184" i="2" s="1"/>
  <c r="N181" i="2"/>
  <c r="O181" i="2" s="1"/>
  <c r="N185" i="2"/>
  <c r="O185" i="2" s="1"/>
  <c r="N182" i="2"/>
  <c r="O182" i="2" s="1"/>
  <c r="N191" i="2"/>
  <c r="O191" i="2" s="1"/>
  <c r="U194" i="2"/>
  <c r="V194" i="2" s="1"/>
  <c r="U187" i="2"/>
  <c r="V187" i="2" s="1"/>
  <c r="U182" i="2"/>
  <c r="V182" i="2" s="1"/>
  <c r="U193" i="2"/>
  <c r="V193" i="2" s="1"/>
  <c r="U185" i="2"/>
  <c r="V185" i="2" s="1"/>
  <c r="U196" i="2"/>
  <c r="V196" i="2" s="1"/>
  <c r="U197" i="2"/>
  <c r="V197" i="2" s="1"/>
  <c r="U131" i="2"/>
  <c r="V131" i="2" s="1"/>
  <c r="N83" i="2"/>
  <c r="O83" i="2" s="1"/>
  <c r="N96" i="2"/>
  <c r="O96" i="2" s="1"/>
  <c r="N84" i="2"/>
  <c r="O84" i="2" s="1"/>
  <c r="N91" i="2"/>
  <c r="O91" i="2" s="1"/>
  <c r="N81" i="2"/>
  <c r="O81" i="2" s="1"/>
  <c r="N85" i="2"/>
  <c r="O85" i="2" s="1"/>
  <c r="N90" i="2"/>
  <c r="O90" i="2" s="1"/>
  <c r="N93" i="2"/>
  <c r="O93" i="2" s="1"/>
  <c r="N82" i="2"/>
  <c r="O82" i="2" s="1"/>
  <c r="N87" i="2"/>
  <c r="O87" i="2" s="1"/>
  <c r="N94" i="2"/>
  <c r="O94" i="2" s="1"/>
  <c r="AE32" i="2"/>
  <c r="U157" i="2"/>
  <c r="V157" i="2" s="1"/>
  <c r="U169" i="2"/>
  <c r="V169" i="2" s="1"/>
  <c r="U171" i="2"/>
  <c r="V171" i="2" s="1"/>
  <c r="U163" i="2"/>
  <c r="V163" i="2" s="1"/>
  <c r="U158" i="2"/>
  <c r="V158" i="2" s="1"/>
  <c r="U159" i="2"/>
  <c r="V159" i="2" s="1"/>
  <c r="U63" i="2"/>
  <c r="V63" i="2" s="1"/>
  <c r="U170" i="2"/>
  <c r="V170" i="2" s="1"/>
  <c r="U70" i="2"/>
  <c r="V70" i="2" s="1"/>
  <c r="N193" i="2"/>
  <c r="O193" i="2" s="1"/>
  <c r="U172" i="2"/>
  <c r="V172" i="2" s="1"/>
  <c r="AE107" i="2"/>
  <c r="AD106" i="2"/>
  <c r="AE82" i="2"/>
  <c r="AD81" i="2"/>
  <c r="AC197" i="2"/>
  <c r="U140" i="2"/>
  <c r="V140" i="2" s="1"/>
  <c r="N189" i="2"/>
  <c r="O189" i="2" s="1"/>
  <c r="U120" i="2"/>
  <c r="V120" i="2" s="1"/>
  <c r="U135" i="2"/>
  <c r="V135" i="2" s="1"/>
  <c r="U143" i="2"/>
  <c r="V143" i="2" s="1"/>
  <c r="N194" i="2"/>
  <c r="O194" i="2" s="1"/>
  <c r="N187" i="2"/>
  <c r="O187" i="2" s="1"/>
  <c r="U121" i="2"/>
  <c r="V121" i="2" s="1"/>
  <c r="U108" i="2"/>
  <c r="V108" i="2" s="1"/>
  <c r="N190" i="2"/>
  <c r="O190" i="2" s="1"/>
  <c r="N196" i="2"/>
  <c r="O196" i="2" s="1"/>
  <c r="U68" i="2"/>
  <c r="V68" i="2" s="1"/>
  <c r="U65" i="2"/>
  <c r="V65" i="2" s="1"/>
  <c r="U60" i="2"/>
  <c r="V60" i="2" s="1"/>
  <c r="U56" i="2"/>
  <c r="V56" i="2" s="1"/>
  <c r="U69" i="2"/>
  <c r="V69" i="2" s="1"/>
  <c r="N195" i="2"/>
  <c r="O195" i="2" s="1"/>
  <c r="N188" i="2"/>
  <c r="O188" i="2" s="1"/>
  <c r="N197" i="2"/>
  <c r="O197" i="2" s="1"/>
  <c r="U122" i="2"/>
  <c r="V122" i="2" s="1"/>
  <c r="U116" i="2"/>
  <c r="V116" i="2" s="1"/>
  <c r="U109" i="2"/>
  <c r="V109" i="2" s="1"/>
  <c r="U114" i="2"/>
  <c r="V114" i="2" s="1"/>
  <c r="U133" i="2"/>
  <c r="V133" i="2" s="1"/>
  <c r="U138" i="2"/>
  <c r="V138" i="2" s="1"/>
  <c r="U146" i="2"/>
  <c r="V146" i="2" s="1"/>
  <c r="U147" i="2"/>
  <c r="V147" i="2" s="1"/>
  <c r="U118" i="2"/>
  <c r="V118" i="2" s="1"/>
  <c r="U115" i="2"/>
  <c r="V115" i="2" s="1"/>
  <c r="U110" i="2"/>
  <c r="V110" i="2" s="1"/>
  <c r="U106" i="2"/>
  <c r="V106" i="2" s="1"/>
  <c r="U119" i="2"/>
  <c r="V119" i="2" s="1"/>
  <c r="U107" i="2"/>
  <c r="V107" i="2" s="1"/>
  <c r="U132" i="2"/>
  <c r="V132" i="2" s="1"/>
  <c r="U134" i="2"/>
  <c r="V134" i="2" s="1"/>
  <c r="U137" i="2"/>
  <c r="V137" i="2" s="1"/>
  <c r="U139" i="2"/>
  <c r="V139" i="2" s="1"/>
  <c r="U144" i="2"/>
  <c r="V144" i="2" s="1"/>
  <c r="U141" i="2"/>
  <c r="V141" i="2" s="1"/>
  <c r="U72" i="2"/>
  <c r="V72" i="2" s="1"/>
  <c r="U66" i="2"/>
  <c r="V66" i="2" s="1"/>
  <c r="U59" i="2"/>
  <c r="V59" i="2" s="1"/>
  <c r="U64" i="2"/>
  <c r="V64" i="2" s="1"/>
  <c r="V100" i="2"/>
  <c r="AS84" i="2" s="1"/>
  <c r="H13" i="2"/>
  <c r="H15" i="2" s="1"/>
  <c r="H14" i="2"/>
  <c r="H40" i="2"/>
  <c r="H38" i="2"/>
  <c r="H39" i="2"/>
  <c r="O75" i="2" l="1"/>
  <c r="AS58" i="2" s="1"/>
  <c r="V200" i="2"/>
  <c r="AS184" i="2" s="1"/>
  <c r="AF182" i="2"/>
  <c r="AE181" i="2"/>
  <c r="O175" i="2"/>
  <c r="AS158" i="2" s="1"/>
  <c r="AF7" i="2"/>
  <c r="AF6" i="2" s="1"/>
  <c r="O150" i="2"/>
  <c r="AS133" i="2" s="1"/>
  <c r="AF132" i="2"/>
  <c r="AE131" i="2"/>
  <c r="V175" i="2"/>
  <c r="AS159" i="2" s="1"/>
  <c r="AF157" i="2"/>
  <c r="AE156" i="2"/>
  <c r="O125" i="2"/>
  <c r="AS108" i="2" s="1"/>
  <c r="O100" i="2"/>
  <c r="AS83" i="2" s="1"/>
  <c r="AP85" i="2" s="1"/>
  <c r="AU82" i="2" s="1"/>
  <c r="AU84" i="2" s="1"/>
  <c r="AF57" i="2"/>
  <c r="AE56" i="2"/>
  <c r="O200" i="2"/>
  <c r="AS183" i="2" s="1"/>
  <c r="AF32" i="2"/>
  <c r="AE31" i="2"/>
  <c r="AD197" i="2"/>
  <c r="AF107" i="2"/>
  <c r="AE106" i="2"/>
  <c r="AF82" i="2"/>
  <c r="AE81" i="2"/>
  <c r="AE198" i="2"/>
  <c r="V125" i="2"/>
  <c r="AS109" i="2" s="1"/>
  <c r="V75" i="2"/>
  <c r="AS59" i="2" s="1"/>
  <c r="V150" i="2"/>
  <c r="AS134" i="2" s="1"/>
  <c r="H25" i="2"/>
  <c r="H50" i="2"/>
  <c r="AS31" i="2" s="1"/>
  <c r="AU158" i="2" l="1"/>
  <c r="AU160" i="2" s="1"/>
  <c r="AU133" i="2"/>
  <c r="AU135" i="2" s="1"/>
  <c r="AU183" i="2"/>
  <c r="AU185" i="2" s="1"/>
  <c r="AR160" i="2"/>
  <c r="AR60" i="2"/>
  <c r="AT56" i="2" s="1"/>
  <c r="AG182" i="2"/>
  <c r="AF181" i="2"/>
  <c r="AR185" i="2"/>
  <c r="AP160" i="2"/>
  <c r="AU157" i="2" s="1"/>
  <c r="AU159" i="2" s="1"/>
  <c r="AG7" i="2"/>
  <c r="AH7" i="2" s="1"/>
  <c r="AP110" i="2"/>
  <c r="AU107" i="2" s="1"/>
  <c r="AU109" i="2" s="1"/>
  <c r="AS160" i="2"/>
  <c r="AG157" i="2"/>
  <c r="AF156" i="2"/>
  <c r="AG132" i="2"/>
  <c r="AF131" i="2"/>
  <c r="AU83" i="2"/>
  <c r="AU85" i="2" s="1"/>
  <c r="AS85" i="2"/>
  <c r="AR85" i="2"/>
  <c r="AT81" i="2" s="1"/>
  <c r="AE197" i="2"/>
  <c r="AG57" i="2"/>
  <c r="AF56" i="2"/>
  <c r="AP185" i="2"/>
  <c r="AU182" i="2" s="1"/>
  <c r="AU184" i="2" s="1"/>
  <c r="AS185" i="2"/>
  <c r="AG32" i="2"/>
  <c r="AF31" i="2"/>
  <c r="AF198" i="2"/>
  <c r="AS110" i="2"/>
  <c r="AR135" i="2"/>
  <c r="AS135" i="2"/>
  <c r="AG82" i="2"/>
  <c r="AF81" i="2"/>
  <c r="AU108" i="2"/>
  <c r="AU110" i="2" s="1"/>
  <c r="AG107" i="2"/>
  <c r="AF106" i="2"/>
  <c r="AP135" i="2"/>
  <c r="AU132" i="2" s="1"/>
  <c r="AU134" i="2" s="1"/>
  <c r="AP60" i="2"/>
  <c r="AU57" i="2" s="1"/>
  <c r="AU59" i="2" s="1"/>
  <c r="AU58" i="2"/>
  <c r="AU60" i="2" s="1"/>
  <c r="AR110" i="2"/>
  <c r="AS60" i="2"/>
  <c r="O27" i="2"/>
  <c r="V27" i="2"/>
  <c r="AS6" i="2"/>
  <c r="V2" i="2"/>
  <c r="U9" i="2" s="1"/>
  <c r="V9" i="2" s="1"/>
  <c r="O2" i="2"/>
  <c r="N12" i="2" s="1"/>
  <c r="O12" i="2" s="1"/>
  <c r="AG6" i="2" l="1"/>
  <c r="AH182" i="2"/>
  <c r="AG181" i="2"/>
  <c r="AH132" i="2"/>
  <c r="AG131" i="2"/>
  <c r="AH157" i="2"/>
  <c r="AG156" i="2"/>
  <c r="AH57" i="2"/>
  <c r="AG56" i="2"/>
  <c r="AH32" i="2"/>
  <c r="AG31" i="2"/>
  <c r="AF197" i="2"/>
  <c r="U20" i="2"/>
  <c r="V20" i="2" s="1"/>
  <c r="N22" i="2"/>
  <c r="O22" i="2" s="1"/>
  <c r="AH6" i="2"/>
  <c r="AH82" i="2"/>
  <c r="AG81" i="2"/>
  <c r="AG198" i="2"/>
  <c r="AH107" i="2"/>
  <c r="AG106" i="2"/>
  <c r="N6" i="2"/>
  <c r="O6" i="2" s="1"/>
  <c r="N15" i="2"/>
  <c r="O15" i="2" s="1"/>
  <c r="N9" i="2"/>
  <c r="O9" i="2" s="1"/>
  <c r="N18" i="2"/>
  <c r="O18" i="2" s="1"/>
  <c r="N10" i="2"/>
  <c r="O10" i="2" s="1"/>
  <c r="N19" i="2"/>
  <c r="O19" i="2" s="1"/>
  <c r="N16" i="2"/>
  <c r="O16" i="2" s="1"/>
  <c r="U8" i="2"/>
  <c r="V8" i="2" s="1"/>
  <c r="N21" i="2"/>
  <c r="O21" i="2" s="1"/>
  <c r="N13" i="2"/>
  <c r="O13" i="2" s="1"/>
  <c r="N8" i="2"/>
  <c r="O8" i="2" s="1"/>
  <c r="N7" i="2"/>
  <c r="O7" i="2" s="1"/>
  <c r="N20" i="2"/>
  <c r="O20" i="2" s="1"/>
  <c r="N14" i="2"/>
  <c r="O14" i="2" s="1"/>
  <c r="U21" i="2"/>
  <c r="V21" i="2" s="1"/>
  <c r="U12" i="2"/>
  <c r="V12" i="2" s="1"/>
  <c r="U16" i="2"/>
  <c r="V16" i="2" s="1"/>
  <c r="U22" i="2"/>
  <c r="V22" i="2" s="1"/>
  <c r="U13" i="2"/>
  <c r="V13" i="2" s="1"/>
  <c r="U7" i="2"/>
  <c r="V7" i="2" s="1"/>
  <c r="AI7" i="2"/>
  <c r="U18" i="2"/>
  <c r="V18" i="2" s="1"/>
  <c r="U15" i="2"/>
  <c r="V15" i="2" s="1"/>
  <c r="U10" i="2"/>
  <c r="V10" i="2" s="1"/>
  <c r="U6" i="2"/>
  <c r="V6" i="2" s="1"/>
  <c r="U19" i="2"/>
  <c r="V19" i="2" s="1"/>
  <c r="U14" i="2"/>
  <c r="V14" i="2" s="1"/>
  <c r="U47" i="2"/>
  <c r="V47" i="2" s="1"/>
  <c r="U43" i="2"/>
  <c r="V43" i="2" s="1"/>
  <c r="U46" i="2"/>
  <c r="V46" i="2" s="1"/>
  <c r="U40" i="2"/>
  <c r="V40" i="2" s="1"/>
  <c r="U38" i="2"/>
  <c r="V38" i="2" s="1"/>
  <c r="U35" i="2"/>
  <c r="V35" i="2" s="1"/>
  <c r="U33" i="2"/>
  <c r="V33" i="2" s="1"/>
  <c r="U31" i="2"/>
  <c r="V31" i="2" s="1"/>
  <c r="U45" i="2"/>
  <c r="V45" i="2" s="1"/>
  <c r="U41" i="2"/>
  <c r="V41" i="2" s="1"/>
  <c r="U44" i="2"/>
  <c r="V44" i="2" s="1"/>
  <c r="U39" i="2"/>
  <c r="V39" i="2" s="1"/>
  <c r="U37" i="2"/>
  <c r="V37" i="2" s="1"/>
  <c r="U34" i="2"/>
  <c r="V34" i="2" s="1"/>
  <c r="U32" i="2"/>
  <c r="V32" i="2" s="1"/>
  <c r="N45" i="2"/>
  <c r="O45" i="2" s="1"/>
  <c r="N41" i="2"/>
  <c r="O41" i="2" s="1"/>
  <c r="N44" i="2"/>
  <c r="O44" i="2" s="1"/>
  <c r="N39" i="2"/>
  <c r="O39" i="2" s="1"/>
  <c r="N37" i="2"/>
  <c r="O37" i="2" s="1"/>
  <c r="N34" i="2"/>
  <c r="O34" i="2" s="1"/>
  <c r="N32" i="2"/>
  <c r="O32" i="2" s="1"/>
  <c r="N47" i="2"/>
  <c r="O47" i="2" s="1"/>
  <c r="N43" i="2"/>
  <c r="O43" i="2" s="1"/>
  <c r="N46" i="2"/>
  <c r="O46" i="2" s="1"/>
  <c r="N40" i="2"/>
  <c r="O40" i="2" s="1"/>
  <c r="N38" i="2"/>
  <c r="O38" i="2" s="1"/>
  <c r="N35" i="2"/>
  <c r="O35" i="2" s="1"/>
  <c r="N33" i="2"/>
  <c r="O33" i="2" s="1"/>
  <c r="N31" i="2"/>
  <c r="O31" i="2" s="1"/>
  <c r="AI182" i="2" l="1"/>
  <c r="AH181" i="2"/>
  <c r="AI157" i="2"/>
  <c r="AH156" i="2"/>
  <c r="AI132" i="2"/>
  <c r="AH131" i="2"/>
  <c r="AI57" i="2"/>
  <c r="AH56" i="2"/>
  <c r="AI32" i="2"/>
  <c r="AH31" i="2"/>
  <c r="AG197" i="2"/>
  <c r="AI82" i="2"/>
  <c r="AH81" i="2"/>
  <c r="AI6" i="2"/>
  <c r="AI107" i="2"/>
  <c r="AH106" i="2"/>
  <c r="AH198" i="2"/>
  <c r="O25" i="2"/>
  <c r="AS8" i="2" s="1"/>
  <c r="AJ7" i="2"/>
  <c r="V25" i="2"/>
  <c r="AS9" i="2" s="1"/>
  <c r="O50" i="2"/>
  <c r="AS33" i="2" s="1"/>
  <c r="V50" i="2"/>
  <c r="AS34" i="2" s="1"/>
  <c r="AJ182" i="2" l="1"/>
  <c r="AI181" i="2"/>
  <c r="AJ132" i="2"/>
  <c r="AI131" i="2"/>
  <c r="AJ157" i="2"/>
  <c r="AI156" i="2"/>
  <c r="AJ57" i="2"/>
  <c r="AI56" i="2"/>
  <c r="AP35" i="2"/>
  <c r="AJ32" i="2"/>
  <c r="AI31" i="2"/>
  <c r="AH197" i="2"/>
  <c r="AI198" i="2"/>
  <c r="AU33" i="2"/>
  <c r="AU35" i="2" s="1"/>
  <c r="AS35" i="2"/>
  <c r="AR35" i="2"/>
  <c r="AT31" i="2" s="1"/>
  <c r="AJ6" i="2"/>
  <c r="AJ107" i="2"/>
  <c r="AI106" i="2"/>
  <c r="AJ82" i="2"/>
  <c r="AI81" i="2"/>
  <c r="AP10" i="2"/>
  <c r="AR10" i="2"/>
  <c r="AT6" i="2" s="1"/>
  <c r="AS10" i="2"/>
  <c r="AU8" i="2"/>
  <c r="AU10" i="2" s="1"/>
  <c r="AK7" i="2"/>
  <c r="AU32" i="2" l="1"/>
  <c r="AU34" i="2" s="1"/>
  <c r="AU7" i="2"/>
  <c r="AU9" i="2" s="1"/>
  <c r="AQ203" i="2"/>
  <c r="AV201" i="2"/>
  <c r="AH230" i="2" s="1"/>
  <c r="AQ207" i="2"/>
  <c r="AK182" i="2"/>
  <c r="AJ181" i="2"/>
  <c r="AK157" i="2"/>
  <c r="AJ156" i="2"/>
  <c r="AK132" i="2"/>
  <c r="AJ131" i="2"/>
  <c r="AK57" i="2"/>
  <c r="AJ56" i="2"/>
  <c r="AK32" i="2"/>
  <c r="AJ31" i="2"/>
  <c r="AQ201" i="2"/>
  <c r="AK6" i="2"/>
  <c r="AI197" i="2"/>
  <c r="AK107" i="2"/>
  <c r="AJ106" i="2"/>
  <c r="AK82" i="2"/>
  <c r="AJ81" i="2"/>
  <c r="AJ198" i="2"/>
  <c r="AL7" i="2"/>
  <c r="AI230" i="2" l="1"/>
  <c r="AB241" i="2"/>
  <c r="AB219" i="2"/>
  <c r="AB208" i="2"/>
  <c r="AC241" i="2"/>
  <c r="AC208" i="2"/>
  <c r="AB230" i="2"/>
  <c r="AD208" i="2"/>
  <c r="AC230" i="2"/>
  <c r="AD241" i="2"/>
  <c r="AE208" i="2"/>
  <c r="AD230" i="2"/>
  <c r="AE241" i="2"/>
  <c r="AF241" i="2"/>
  <c r="AE230" i="2"/>
  <c r="AF230" i="2"/>
  <c r="AG241" i="2"/>
  <c r="AG230" i="2"/>
  <c r="AH241" i="2"/>
  <c r="AI241" i="2"/>
  <c r="AJ219" i="2"/>
  <c r="AJ241" i="2"/>
  <c r="AI219" i="2"/>
  <c r="AL182" i="2"/>
  <c r="AK181" i="2"/>
  <c r="AC219" i="2"/>
  <c r="AD219" i="2"/>
  <c r="AE219" i="2"/>
  <c r="AF219" i="2"/>
  <c r="AF208" i="2"/>
  <c r="AG219" i="2"/>
  <c r="AG208" i="2"/>
  <c r="AH219" i="2"/>
  <c r="AH208" i="2"/>
  <c r="AI208" i="2"/>
  <c r="AJ208" i="2"/>
  <c r="AL132" i="2"/>
  <c r="AK131" i="2"/>
  <c r="AL157" i="2"/>
  <c r="AK156" i="2"/>
  <c r="AL57" i="2"/>
  <c r="AK56" i="2"/>
  <c r="AL32" i="2"/>
  <c r="AK31" i="2"/>
  <c r="B32" i="1"/>
  <c r="AL6" i="2"/>
  <c r="AL82" i="2"/>
  <c r="AK81" i="2"/>
  <c r="AL107" i="2"/>
  <c r="AK106" i="2"/>
  <c r="AK198" i="2"/>
  <c r="AK241" i="2" s="1"/>
  <c r="AJ197" i="2"/>
  <c r="AJ230" i="2" s="1"/>
  <c r="AM7" i="2"/>
  <c r="AM182" i="2" l="1"/>
  <c r="AL181" i="2"/>
  <c r="AK219" i="2"/>
  <c r="AK208" i="2"/>
  <c r="AM157" i="2"/>
  <c r="AL156" i="2"/>
  <c r="AM132" i="2"/>
  <c r="AL131" i="2"/>
  <c r="AM57" i="2"/>
  <c r="AL56" i="2"/>
  <c r="AM32" i="2"/>
  <c r="AL31" i="2"/>
  <c r="AK197" i="2"/>
  <c r="AK230" i="2" s="1"/>
  <c r="AL198" i="2"/>
  <c r="AL241" i="2" s="1"/>
  <c r="AM6" i="2"/>
  <c r="AM107" i="2"/>
  <c r="AL106" i="2"/>
  <c r="AN107" i="2"/>
  <c r="AM82" i="2"/>
  <c r="AL81" i="2"/>
  <c r="AN7" i="2"/>
  <c r="AY9" i="2" s="1"/>
  <c r="AN157" i="2" l="1"/>
  <c r="BA106" i="2"/>
  <c r="BA108" i="2"/>
  <c r="BA110" i="2" s="1"/>
  <c r="AM237" i="2" s="1"/>
  <c r="AY8" i="2"/>
  <c r="AX8" i="2"/>
  <c r="AX10" i="2" s="1"/>
  <c r="AX9" i="2"/>
  <c r="BA8" i="2"/>
  <c r="BA6" i="2"/>
  <c r="AX6" i="2"/>
  <c r="AM181" i="2"/>
  <c r="AN182" i="2"/>
  <c r="AL219" i="2"/>
  <c r="AL208" i="2"/>
  <c r="AN6" i="2"/>
  <c r="AZ8" i="2" s="1"/>
  <c r="AZ10" i="2" s="1"/>
  <c r="AM131" i="2"/>
  <c r="AN132" i="2"/>
  <c r="AY158" i="2"/>
  <c r="AY160" i="2" s="1"/>
  <c r="AY159" i="2"/>
  <c r="AX158" i="2"/>
  <c r="AX160" i="2" s="1"/>
  <c r="AM206" i="2" s="1"/>
  <c r="AX159" i="2"/>
  <c r="AX156" i="2"/>
  <c r="AY156" i="2"/>
  <c r="AM156" i="2"/>
  <c r="AM56" i="2"/>
  <c r="AN57" i="2"/>
  <c r="AM31" i="2"/>
  <c r="AN32" i="2"/>
  <c r="AX31" i="2" s="1"/>
  <c r="AY108" i="2"/>
  <c r="AY110" i="2" s="1"/>
  <c r="AM215" i="2" s="1"/>
  <c r="AX108" i="2"/>
  <c r="AX110" i="2" s="1"/>
  <c r="AY109" i="2"/>
  <c r="AX109" i="2"/>
  <c r="AY106" i="2"/>
  <c r="AX106" i="2"/>
  <c r="AL197" i="2"/>
  <c r="AL230" i="2" s="1"/>
  <c r="AM81" i="2"/>
  <c r="AN82" i="2"/>
  <c r="AM198" i="2"/>
  <c r="AM241" i="2" s="1"/>
  <c r="AM106" i="2"/>
  <c r="AY6" i="2"/>
  <c r="BA31" i="2" l="1"/>
  <c r="BA33" i="2"/>
  <c r="BA35" i="2" s="1"/>
  <c r="AB217" i="2"/>
  <c r="AC217" i="2"/>
  <c r="AD217" i="2"/>
  <c r="AE217" i="2"/>
  <c r="AF217" i="2"/>
  <c r="AG217" i="2"/>
  <c r="AH217" i="2"/>
  <c r="AI217" i="2"/>
  <c r="AJ217" i="2"/>
  <c r="AK217" i="2"/>
  <c r="AL217" i="2"/>
  <c r="AB237" i="2"/>
  <c r="AC237" i="2"/>
  <c r="AD237" i="2"/>
  <c r="AE237" i="2"/>
  <c r="AF237" i="2"/>
  <c r="AG237" i="2"/>
  <c r="AH237" i="2"/>
  <c r="AI237" i="2"/>
  <c r="AJ237" i="2"/>
  <c r="AK237" i="2"/>
  <c r="AL237" i="2"/>
  <c r="BA131" i="2"/>
  <c r="BA133" i="2"/>
  <c r="BA135" i="2" s="1"/>
  <c r="AB204" i="2"/>
  <c r="AC204" i="2"/>
  <c r="AD204" i="2"/>
  <c r="AE204" i="2"/>
  <c r="AF204" i="2"/>
  <c r="AG204" i="2"/>
  <c r="AH204" i="2"/>
  <c r="AI204" i="2"/>
  <c r="AJ204" i="2"/>
  <c r="AK204" i="2"/>
  <c r="AL204" i="2"/>
  <c r="AB206" i="2"/>
  <c r="AC206" i="2"/>
  <c r="AD206" i="2"/>
  <c r="AE206" i="2"/>
  <c r="AF206" i="2"/>
  <c r="AG206" i="2"/>
  <c r="AH206" i="2"/>
  <c r="AI206" i="2"/>
  <c r="AJ206" i="2"/>
  <c r="AK206" i="2"/>
  <c r="AL206" i="2"/>
  <c r="AM217" i="2"/>
  <c r="BA81" i="2"/>
  <c r="BA83" i="2"/>
  <c r="BA85" i="2" s="1"/>
  <c r="BA181" i="2"/>
  <c r="BA183" i="2"/>
  <c r="BA185" i="2" s="1"/>
  <c r="AB215" i="2"/>
  <c r="AC215" i="2"/>
  <c r="AD215" i="2"/>
  <c r="AE215" i="2"/>
  <c r="AF215" i="2"/>
  <c r="AG215" i="2"/>
  <c r="AH215" i="2"/>
  <c r="AI215" i="2"/>
  <c r="AJ215" i="2"/>
  <c r="AK215" i="2"/>
  <c r="AL215" i="2"/>
  <c r="AM204" i="2"/>
  <c r="BA156" i="2"/>
  <c r="BA158" i="2"/>
  <c r="BA160" i="2" s="1"/>
  <c r="AK200" i="2"/>
  <c r="AE200" i="2"/>
  <c r="AJ200" i="2"/>
  <c r="AD200" i="2"/>
  <c r="AI200" i="2"/>
  <c r="AC200" i="2"/>
  <c r="AH200" i="2"/>
  <c r="AB200" i="2"/>
  <c r="AM200" i="2"/>
  <c r="AG200" i="2"/>
  <c r="AL200" i="2"/>
  <c r="AF200" i="2"/>
  <c r="AY10" i="2"/>
  <c r="BA56" i="2"/>
  <c r="BA58" i="2"/>
  <c r="BA60" i="2" s="1"/>
  <c r="BA10" i="2"/>
  <c r="AX184" i="2"/>
  <c r="AX183" i="2"/>
  <c r="AX185" i="2" s="1"/>
  <c r="AY184" i="2"/>
  <c r="AY183" i="2"/>
  <c r="AY185" i="2" s="1"/>
  <c r="AY181" i="2"/>
  <c r="AX181" i="2"/>
  <c r="AN181" i="2"/>
  <c r="AZ183" i="2" s="1"/>
  <c r="AZ185" i="2" s="1"/>
  <c r="AM219" i="2"/>
  <c r="AM208" i="2"/>
  <c r="AO6" i="2"/>
  <c r="AZ6" i="2" s="1"/>
  <c r="AN131" i="2"/>
  <c r="AZ133" i="2" s="1"/>
  <c r="AZ135" i="2" s="1"/>
  <c r="AY133" i="2"/>
  <c r="AY135" i="2" s="1"/>
  <c r="AX133" i="2"/>
  <c r="AX135" i="2" s="1"/>
  <c r="AX134" i="2"/>
  <c r="AY134" i="2"/>
  <c r="AX131" i="2"/>
  <c r="AY131" i="2"/>
  <c r="AN156" i="2"/>
  <c r="AZ158" i="2" s="1"/>
  <c r="AZ160" i="2" s="1"/>
  <c r="AM197" i="2"/>
  <c r="AM230" i="2" s="1"/>
  <c r="AX59" i="2"/>
  <c r="AX58" i="2"/>
  <c r="AX60" i="2" s="1"/>
  <c r="AY59" i="2"/>
  <c r="AY58" i="2"/>
  <c r="AY60" i="2" s="1"/>
  <c r="AY56" i="2"/>
  <c r="AX56" i="2"/>
  <c r="AN56" i="2"/>
  <c r="AZ58" i="2" s="1"/>
  <c r="AN31" i="2"/>
  <c r="AZ33" i="2" s="1"/>
  <c r="AZ35" i="2" s="1"/>
  <c r="AN198" i="2"/>
  <c r="AY31" i="2"/>
  <c r="AX33" i="2"/>
  <c r="AX35" i="2" s="1"/>
  <c r="AY33" i="2"/>
  <c r="AY35" i="2" s="1"/>
  <c r="AX34" i="2"/>
  <c r="AY34" i="2"/>
  <c r="AN106" i="2"/>
  <c r="AZ108" i="2" s="1"/>
  <c r="AZ110" i="2" s="1"/>
  <c r="AN81" i="2"/>
  <c r="AZ83" i="2" s="1"/>
  <c r="AZ85" i="2" s="1"/>
  <c r="AY84" i="2"/>
  <c r="AX84" i="2"/>
  <c r="AX81" i="2"/>
  <c r="AX83" i="2"/>
  <c r="AX85" i="2" s="1"/>
  <c r="AY83" i="2"/>
  <c r="AY85" i="2" s="1"/>
  <c r="AY81" i="2"/>
  <c r="AJ234" i="2" l="1"/>
  <c r="AL234" i="2"/>
  <c r="AH234" i="2"/>
  <c r="AK234" i="2"/>
  <c r="AI234" i="2"/>
  <c r="AE234" i="2"/>
  <c r="AG234" i="2"/>
  <c r="AD234" i="2"/>
  <c r="AF234" i="2"/>
  <c r="AC234" i="2"/>
  <c r="AB234" i="2"/>
  <c r="AM234" i="2"/>
  <c r="AB238" i="2"/>
  <c r="AC238" i="2"/>
  <c r="AD238" i="2"/>
  <c r="AE238" i="2"/>
  <c r="AF238" i="2"/>
  <c r="AG238" i="2"/>
  <c r="AH238" i="2"/>
  <c r="AI238" i="2"/>
  <c r="AJ238" i="2"/>
  <c r="AK238" i="2"/>
  <c r="AL238" i="2"/>
  <c r="AM238" i="2"/>
  <c r="AB239" i="2"/>
  <c r="AC239" i="2"/>
  <c r="AD239" i="2"/>
  <c r="AE239" i="2"/>
  <c r="AF239" i="2"/>
  <c r="AG239" i="2"/>
  <c r="AH239" i="2"/>
  <c r="AI239" i="2"/>
  <c r="AJ239" i="2"/>
  <c r="AK239" i="2"/>
  <c r="AL239" i="2"/>
  <c r="AM239" i="2"/>
  <c r="AB205" i="2"/>
  <c r="AC205" i="2"/>
  <c r="AD205" i="2"/>
  <c r="AE205" i="2"/>
  <c r="AF205" i="2"/>
  <c r="AG205" i="2"/>
  <c r="AH205" i="2"/>
  <c r="AI205" i="2"/>
  <c r="AJ205" i="2"/>
  <c r="AK205" i="2"/>
  <c r="AL205" i="2"/>
  <c r="AM205" i="2"/>
  <c r="AB207" i="2"/>
  <c r="AC207" i="2"/>
  <c r="AD207" i="2"/>
  <c r="AE207" i="2"/>
  <c r="AF207" i="2"/>
  <c r="AG207" i="2"/>
  <c r="AH207" i="2"/>
  <c r="AI207" i="2"/>
  <c r="AJ207" i="2"/>
  <c r="AK207" i="2"/>
  <c r="AL207" i="2"/>
  <c r="AM207" i="2"/>
  <c r="AB214" i="2"/>
  <c r="AC214" i="2"/>
  <c r="AD214" i="2"/>
  <c r="AE214" i="2"/>
  <c r="AF214" i="2"/>
  <c r="AG214" i="2"/>
  <c r="AH214" i="2"/>
  <c r="AI214" i="2"/>
  <c r="AJ214" i="2"/>
  <c r="AK214" i="2"/>
  <c r="AL214" i="2"/>
  <c r="AM214" i="2"/>
  <c r="AB216" i="2"/>
  <c r="AC216" i="2"/>
  <c r="AD216" i="2"/>
  <c r="AE216" i="2"/>
  <c r="AF216" i="2"/>
  <c r="AG216" i="2"/>
  <c r="AH216" i="2"/>
  <c r="AI216" i="2"/>
  <c r="AJ216" i="2"/>
  <c r="AK216" i="2"/>
  <c r="AL216" i="2"/>
  <c r="AM216" i="2"/>
  <c r="AB218" i="2"/>
  <c r="AC218" i="2"/>
  <c r="AD218" i="2"/>
  <c r="AE218" i="2"/>
  <c r="AF218" i="2"/>
  <c r="AG218" i="2"/>
  <c r="AH218" i="2"/>
  <c r="AI218" i="2"/>
  <c r="AJ218" i="2"/>
  <c r="AK218" i="2"/>
  <c r="AL218" i="2"/>
  <c r="AM218" i="2"/>
  <c r="AB240" i="2"/>
  <c r="AC240" i="2"/>
  <c r="AD240" i="2"/>
  <c r="AE240" i="2"/>
  <c r="AF240" i="2"/>
  <c r="AG240" i="2"/>
  <c r="AH240" i="2"/>
  <c r="AI240" i="2"/>
  <c r="AJ240" i="2"/>
  <c r="AK240" i="2"/>
  <c r="AL240" i="2"/>
  <c r="AM240" i="2"/>
  <c r="AB203" i="2"/>
  <c r="AC203" i="2"/>
  <c r="AD203" i="2"/>
  <c r="AE203" i="2"/>
  <c r="AF203" i="2"/>
  <c r="AG203" i="2"/>
  <c r="AH203" i="2"/>
  <c r="AI203" i="2"/>
  <c r="AJ203" i="2"/>
  <c r="AK203" i="2"/>
  <c r="AL203" i="2"/>
  <c r="AM203" i="2"/>
  <c r="AB236" i="2"/>
  <c r="AC236" i="2"/>
  <c r="AD236" i="2"/>
  <c r="AE236" i="2"/>
  <c r="AF236" i="2"/>
  <c r="AG236" i="2"/>
  <c r="AH236" i="2"/>
  <c r="AI236" i="2"/>
  <c r="AJ236" i="2"/>
  <c r="AK236" i="2"/>
  <c r="AL236" i="2"/>
  <c r="AM236" i="2"/>
  <c r="BA199" i="2"/>
  <c r="AX197" i="2"/>
  <c r="AB202" i="2"/>
  <c r="AC202" i="2"/>
  <c r="AD202" i="2"/>
  <c r="AE202" i="2"/>
  <c r="AF202" i="2"/>
  <c r="AG202" i="2"/>
  <c r="AH202" i="2"/>
  <c r="AI202" i="2"/>
  <c r="AJ202" i="2"/>
  <c r="AK202" i="2"/>
  <c r="AL202" i="2"/>
  <c r="AM202" i="2"/>
  <c r="AD211" i="2"/>
  <c r="AC211" i="2"/>
  <c r="AG211" i="2"/>
  <c r="AI211" i="2"/>
  <c r="AL211" i="2"/>
  <c r="AF211" i="2"/>
  <c r="AK211" i="2"/>
  <c r="AE211" i="2"/>
  <c r="AJ211" i="2"/>
  <c r="AH211" i="2"/>
  <c r="AM211" i="2"/>
  <c r="AB211" i="2"/>
  <c r="AZ60" i="2"/>
  <c r="AZ199" i="2"/>
  <c r="AE212" i="2"/>
  <c r="AC212" i="2"/>
  <c r="AB212" i="2"/>
  <c r="AM212" i="2"/>
  <c r="AG212" i="2"/>
  <c r="AL212" i="2"/>
  <c r="AF212" i="2"/>
  <c r="AK212" i="2"/>
  <c r="AJ212" i="2"/>
  <c r="AD212" i="2"/>
  <c r="AI212" i="2"/>
  <c r="AH212" i="2"/>
  <c r="AK201" i="2"/>
  <c r="AE201" i="2"/>
  <c r="AJ201" i="2"/>
  <c r="AD201" i="2"/>
  <c r="AB201" i="2"/>
  <c r="AI201" i="2"/>
  <c r="AC201" i="2"/>
  <c r="AH201" i="2"/>
  <c r="AM201" i="2"/>
  <c r="AG201" i="2"/>
  <c r="AL201" i="2"/>
  <c r="AF201" i="2"/>
  <c r="AY197" i="2"/>
  <c r="AB213" i="2"/>
  <c r="AC213" i="2"/>
  <c r="AD213" i="2"/>
  <c r="AE213" i="2"/>
  <c r="AF213" i="2"/>
  <c r="AG213" i="2"/>
  <c r="AH213" i="2"/>
  <c r="AI213" i="2"/>
  <c r="AJ213" i="2"/>
  <c r="AK213" i="2"/>
  <c r="AL213" i="2"/>
  <c r="AM213" i="2"/>
  <c r="BA197" i="2"/>
  <c r="AB235" i="2"/>
  <c r="AC235" i="2"/>
  <c r="AD235" i="2"/>
  <c r="AE235" i="2"/>
  <c r="AF235" i="2"/>
  <c r="AG235" i="2"/>
  <c r="AH235" i="2"/>
  <c r="AI235" i="2"/>
  <c r="AJ235" i="2"/>
  <c r="AK235" i="2"/>
  <c r="AL235" i="2"/>
  <c r="AM235" i="2"/>
  <c r="AX196" i="2"/>
  <c r="BA196" i="2"/>
  <c r="AY196" i="2"/>
  <c r="AE233" i="2"/>
  <c r="AJ233" i="2"/>
  <c r="AI233" i="2"/>
  <c r="AC233" i="2"/>
  <c r="AM233" i="2"/>
  <c r="AG233" i="2"/>
  <c r="AB233" i="2"/>
  <c r="AL233" i="2"/>
  <c r="AF233" i="2"/>
  <c r="AK233" i="2"/>
  <c r="AD233" i="2"/>
  <c r="AH233" i="2"/>
  <c r="AY199" i="2"/>
  <c r="AO181" i="2"/>
  <c r="AZ181" i="2" s="1"/>
  <c r="AC222" i="2"/>
  <c r="AD222" i="2"/>
  <c r="AE222" i="2"/>
  <c r="AF222" i="2"/>
  <c r="AG222" i="2"/>
  <c r="AH222" i="2"/>
  <c r="AI222" i="2"/>
  <c r="AJ222" i="2"/>
  <c r="AK222" i="2"/>
  <c r="AL222" i="2"/>
  <c r="AM222" i="2"/>
  <c r="AN197" i="2"/>
  <c r="AZ196" i="2" s="1"/>
  <c r="AO156" i="2"/>
  <c r="AZ156" i="2" s="1"/>
  <c r="AO131" i="2"/>
  <c r="AZ131" i="2" s="1"/>
  <c r="AB227" i="2" s="1"/>
  <c r="AX199" i="2"/>
  <c r="AX200" i="2"/>
  <c r="AY200" i="2"/>
  <c r="AO56" i="2"/>
  <c r="AZ56" i="2" s="1"/>
  <c r="AO31" i="2"/>
  <c r="AZ31" i="2" s="1"/>
  <c r="AO81" i="2"/>
  <c r="AZ81" i="2" s="1"/>
  <c r="AB225" i="2" s="1"/>
  <c r="AO106" i="2"/>
  <c r="AZ106" i="2" s="1"/>
  <c r="AB226" i="2" s="1"/>
  <c r="AL243" i="2" l="1"/>
  <c r="AE243" i="2"/>
  <c r="AF243" i="2"/>
  <c r="AI243" i="2"/>
  <c r="AI210" i="2"/>
  <c r="AC243" i="2"/>
  <c r="AK210" i="2"/>
  <c r="AX201" i="2"/>
  <c r="AY201" i="2"/>
  <c r="AZ201" i="2"/>
  <c r="AJ243" i="2"/>
  <c r="AD243" i="2"/>
  <c r="BA198" i="2"/>
  <c r="BA201" i="2"/>
  <c r="AK243" i="2"/>
  <c r="AB228" i="2"/>
  <c r="AC228" i="2"/>
  <c r="AD228" i="2"/>
  <c r="AE228" i="2"/>
  <c r="AF228" i="2"/>
  <c r="AG228" i="2"/>
  <c r="AH228" i="2"/>
  <c r="AI228" i="2"/>
  <c r="AJ228" i="2"/>
  <c r="AK228" i="2"/>
  <c r="AL228" i="2"/>
  <c r="AM228" i="2"/>
  <c r="AB229" i="2"/>
  <c r="AC229" i="2"/>
  <c r="AD229" i="2"/>
  <c r="AE229" i="2"/>
  <c r="AF229" i="2"/>
  <c r="AG229" i="2"/>
  <c r="AH229" i="2"/>
  <c r="AI229" i="2"/>
  <c r="AJ229" i="2"/>
  <c r="AK229" i="2"/>
  <c r="AL229" i="2"/>
  <c r="AM229" i="2"/>
  <c r="AX198" i="2"/>
  <c r="AG243" i="2"/>
  <c r="AY198" i="2"/>
  <c r="AZ197" i="2"/>
  <c r="AZ198" i="2"/>
  <c r="AB224" i="2"/>
  <c r="AB243" i="2"/>
  <c r="AH243" i="2"/>
  <c r="AM243" i="2"/>
  <c r="AL210" i="2"/>
  <c r="AC210" i="2"/>
  <c r="AC221" i="2"/>
  <c r="AH210" i="2"/>
  <c r="AH221" i="2"/>
  <c r="AK221" i="2"/>
  <c r="AD210" i="2"/>
  <c r="AD221" i="2"/>
  <c r="AG221" i="2"/>
  <c r="AL221" i="2"/>
  <c r="AC226" i="2"/>
  <c r="AD226" i="2"/>
  <c r="AE226" i="2"/>
  <c r="AF226" i="2"/>
  <c r="AG226" i="2"/>
  <c r="AH226" i="2"/>
  <c r="AI226" i="2"/>
  <c r="AJ226" i="2"/>
  <c r="AK226" i="2"/>
  <c r="AL226" i="2"/>
  <c r="AM226" i="2"/>
  <c r="AC227" i="2"/>
  <c r="AD227" i="2"/>
  <c r="AE227" i="2"/>
  <c r="AF227" i="2"/>
  <c r="AG227" i="2"/>
  <c r="AH227" i="2"/>
  <c r="AI227" i="2"/>
  <c r="AJ227" i="2"/>
  <c r="AK227" i="2"/>
  <c r="AL227" i="2"/>
  <c r="AM227" i="2"/>
  <c r="AC224" i="2"/>
  <c r="AD224" i="2"/>
  <c r="AE224" i="2"/>
  <c r="AF224" i="2"/>
  <c r="AG224" i="2"/>
  <c r="AH224" i="2"/>
  <c r="AI224" i="2"/>
  <c r="AJ224" i="2"/>
  <c r="AK224" i="2"/>
  <c r="AL224" i="2"/>
  <c r="AM224" i="2"/>
  <c r="AB210" i="2"/>
  <c r="AF210" i="2"/>
  <c r="AJ210" i="2"/>
  <c r="AB221" i="2"/>
  <c r="AF221" i="2"/>
  <c r="AJ221" i="2"/>
  <c r="AC225" i="2"/>
  <c r="AD225" i="2"/>
  <c r="AE225" i="2"/>
  <c r="AF225" i="2"/>
  <c r="AG225" i="2"/>
  <c r="AH225" i="2"/>
  <c r="AI225" i="2"/>
  <c r="AJ225" i="2"/>
  <c r="AK225" i="2"/>
  <c r="AL225" i="2"/>
  <c r="AM225" i="2"/>
  <c r="AG210" i="2"/>
  <c r="AE210" i="2"/>
  <c r="AM210" i="2"/>
  <c r="AE221" i="2"/>
  <c r="AI221" i="2"/>
  <c r="AM221" i="2"/>
  <c r="AC223" i="2"/>
  <c r="AO197" i="2"/>
  <c r="AB232" i="2" l="1"/>
  <c r="AN210" i="2"/>
  <c r="AX202" i="2" s="1"/>
  <c r="AX204" i="2" s="1"/>
  <c r="AN243" i="2"/>
  <c r="BA202" i="2" s="1"/>
  <c r="BA204" i="2" s="1"/>
  <c r="B31" i="1" s="1"/>
  <c r="AN221" i="2"/>
  <c r="AY202" i="2" s="1"/>
  <c r="AY204" i="2" s="1"/>
  <c r="AC232" i="2"/>
  <c r="AL223" i="2"/>
  <c r="AL232" i="2" s="1"/>
  <c r="AJ223" i="2"/>
  <c r="AJ232" i="2" s="1"/>
  <c r="AH223" i="2"/>
  <c r="AH232" i="2" s="1"/>
  <c r="AF223" i="2"/>
  <c r="AF232" i="2" s="1"/>
  <c r="AD223" i="2"/>
  <c r="AD232" i="2" s="1"/>
  <c r="AM223" i="2"/>
  <c r="AM232" i="2" s="1"/>
  <c r="AK223" i="2"/>
  <c r="AK232" i="2" s="1"/>
  <c r="AI223" i="2"/>
  <c r="AI232" i="2" s="1"/>
  <c r="AG223" i="2"/>
  <c r="AG232" i="2" s="1"/>
  <c r="AE223" i="2"/>
  <c r="AE232" i="2" s="1"/>
  <c r="AN232" i="2" l="1"/>
  <c r="AZ202" i="2" s="1"/>
  <c r="AZ204" i="2" s="1"/>
  <c r="AX206" i="2" s="1"/>
  <c r="B29" i="1"/>
  <c r="B28" i="1"/>
  <c r="B30" i="1" l="1"/>
  <c r="B26" i="1"/>
</calcChain>
</file>

<file path=xl/comments1.xml><?xml version="1.0" encoding="utf-8"?>
<comments xmlns="http://schemas.openxmlformats.org/spreadsheetml/2006/main">
  <authors>
    <author>Windows ユーザー</author>
    <author>木村　理恵子</author>
    <author>Infomation Promotion Division</author>
  </authors>
  <commentList>
    <comment ref="D7" authorId="0" shapeId="0">
      <text>
        <r>
          <rPr>
            <sz val="9"/>
            <color indexed="81"/>
            <rFont val="MS P ゴシック"/>
            <family val="3"/>
            <charset val="128"/>
          </rPr>
          <t>令和7年度→令和8年度で改正あったが、数式違って単純なコピペでないので変更箇所空欄で対応。</t>
        </r>
      </text>
    </comment>
    <comment ref="AB7" authorId="1" shapeId="0">
      <text>
        <r>
          <rPr>
            <b/>
            <sz val="9"/>
            <color indexed="81"/>
            <rFont val="MS P ゴシック"/>
            <family val="3"/>
            <charset val="128"/>
          </rPr>
          <t>簡易試算シートは年度途中の加入・喪失ない想定。
世帯主は0か1か2
世帯員は0か1</t>
        </r>
      </text>
    </comment>
    <comment ref="AC7" authorId="1" shapeId="0">
      <text>
        <r>
          <rPr>
            <b/>
            <sz val="9"/>
            <color indexed="81"/>
            <rFont val="MS P ゴシック"/>
            <family val="3"/>
            <charset val="128"/>
          </rPr>
          <t>簡易試算シートは年度途中の加入・喪失ない想定。
世帯主は0か1か2
世帯員は0か1</t>
        </r>
      </text>
    </comment>
    <comment ref="AD7" authorId="1" shapeId="0">
      <text>
        <r>
          <rPr>
            <b/>
            <sz val="9"/>
            <color indexed="81"/>
            <rFont val="MS P ゴシック"/>
            <family val="3"/>
            <charset val="128"/>
          </rPr>
          <t>簡易試算シートは年度途中の加入・喪失ない想定。
世帯主は0か1か2
世帯員は0か1</t>
        </r>
      </text>
    </comment>
    <comment ref="AE7" authorId="1" shapeId="0">
      <text>
        <r>
          <rPr>
            <b/>
            <sz val="9"/>
            <color indexed="81"/>
            <rFont val="MS P ゴシック"/>
            <family val="3"/>
            <charset val="128"/>
          </rPr>
          <t>簡易試算シートは年度途中の加入・喪失ない想定。
世帯主は0か1か2
世帯員は0か1</t>
        </r>
      </text>
    </comment>
    <comment ref="AF7" authorId="1" shapeId="0">
      <text>
        <r>
          <rPr>
            <b/>
            <sz val="9"/>
            <color indexed="81"/>
            <rFont val="MS P ゴシック"/>
            <family val="3"/>
            <charset val="128"/>
          </rPr>
          <t>簡易試算シートは年度途中の加入・喪失ない想定。
世帯主は0か1か2
世帯員は0か1</t>
        </r>
      </text>
    </comment>
    <comment ref="AG7" authorId="1" shapeId="0">
      <text>
        <r>
          <rPr>
            <b/>
            <sz val="9"/>
            <color indexed="81"/>
            <rFont val="MS P ゴシック"/>
            <family val="3"/>
            <charset val="128"/>
          </rPr>
          <t>簡易試算シートは年度途中の加入・喪失ない想定。
世帯主は0か1か2
世帯員は0か1</t>
        </r>
      </text>
    </comment>
    <comment ref="AH7" authorId="1" shapeId="0">
      <text>
        <r>
          <rPr>
            <b/>
            <sz val="9"/>
            <color indexed="81"/>
            <rFont val="MS P ゴシック"/>
            <family val="3"/>
            <charset val="128"/>
          </rPr>
          <t>簡易試算シートは年度途中の加入・喪失ない想定。
世帯主は0か1か2
世帯員は0か1</t>
        </r>
      </text>
    </comment>
    <comment ref="AI7" authorId="1" shapeId="0">
      <text>
        <r>
          <rPr>
            <b/>
            <sz val="9"/>
            <color indexed="81"/>
            <rFont val="MS P ゴシック"/>
            <family val="3"/>
            <charset val="128"/>
          </rPr>
          <t>簡易試算シートは年度途中の加入・喪失ない想定。
世帯主は0か1か2
世帯員は0か1</t>
        </r>
      </text>
    </comment>
    <comment ref="AJ7" authorId="1" shapeId="0">
      <text>
        <r>
          <rPr>
            <b/>
            <sz val="9"/>
            <color indexed="81"/>
            <rFont val="MS P ゴシック"/>
            <family val="3"/>
            <charset val="128"/>
          </rPr>
          <t>簡易試算シートは年度途中の加入・喪失ない想定。
世帯主は0か1か2
世帯員は0か1</t>
        </r>
      </text>
    </comment>
    <comment ref="AK7" authorId="1" shapeId="0">
      <text>
        <r>
          <rPr>
            <b/>
            <sz val="9"/>
            <color indexed="81"/>
            <rFont val="MS P ゴシック"/>
            <family val="3"/>
            <charset val="128"/>
          </rPr>
          <t>簡易試算シートは年度途中の加入・喪失ない想定。
世帯主は0か1か2
世帯員は0か1</t>
        </r>
      </text>
    </comment>
    <comment ref="AL7" authorId="1" shapeId="0">
      <text>
        <r>
          <rPr>
            <b/>
            <sz val="9"/>
            <color indexed="81"/>
            <rFont val="MS P ゴシック"/>
            <family val="3"/>
            <charset val="128"/>
          </rPr>
          <t>簡易試算シートは年度途中の加入・喪失ない想定。
世帯主は0か1か2
世帯員は0か1</t>
        </r>
      </text>
    </comment>
    <comment ref="AM7" authorId="1" shapeId="0">
      <text>
        <r>
          <rPr>
            <b/>
            <sz val="9"/>
            <color indexed="81"/>
            <rFont val="MS P ゴシック"/>
            <family val="3"/>
            <charset val="128"/>
          </rPr>
          <t>簡易試算シートは年度途中の加入・喪失ない想定。
世帯主は0か1か2
世帯員は0か1</t>
        </r>
      </text>
    </comment>
    <comment ref="AW8" authorId="2" shapeId="0">
      <text>
        <r>
          <rPr>
            <b/>
            <sz val="9"/>
            <color indexed="81"/>
            <rFont val="ＭＳ Ｐゴシック"/>
            <family val="3"/>
            <charset val="128"/>
          </rPr>
          <t>Infomation Promotion Division:
未就学児+法定軽減なしの場合は、未就学児半額反映した数字。
未就学児+法定軽減ありの場合は、未就学児半額反映しない数字。法定軽減額の計算に使うため。</t>
        </r>
        <r>
          <rPr>
            <sz val="9"/>
            <color indexed="81"/>
            <rFont val="ＭＳ Ｐゴシック"/>
            <family val="3"/>
            <charset val="128"/>
          </rPr>
          <t xml:space="preserve">
</t>
        </r>
      </text>
    </comment>
    <comment ref="Z9" authorId="1" shapeId="0">
      <text>
        <r>
          <rPr>
            <sz val="9"/>
            <color indexed="81"/>
            <rFont val="MS P ゴシック"/>
            <family val="3"/>
            <charset val="128"/>
          </rPr>
          <t xml:space="preserve">簡易試算シートでは、年度途中の異動無い想定のため入力した人は「1」で固定。
</t>
        </r>
      </text>
    </comment>
    <comment ref="AW9" authorId="2" shapeId="0">
      <text>
        <r>
          <rPr>
            <b/>
            <sz val="9"/>
            <color indexed="81"/>
            <rFont val="ＭＳ Ｐゴシック"/>
            <family val="3"/>
            <charset val="128"/>
          </rPr>
          <t>Infomation Promotion Division:</t>
        </r>
        <r>
          <rPr>
            <sz val="9"/>
            <color indexed="81"/>
            <rFont val="ＭＳ Ｐゴシック"/>
            <family val="3"/>
            <charset val="128"/>
          </rPr>
          <t xml:space="preserve">
法定軽減＋未就学児考慮
例：７割軽減+未就学児
（均等割-均等割×0.7）×0.5＝軽減後均等割額（均等割額×0.15）→均等割額×0.85－均等割額×0.7=軽減後均等割額（均等割額×0.15）
エクセルは→以降の数式で計算しており、後で均等割額×0.7がひかれるため、ここのセルでは0.85で算出している。５割軽減は0.75、２割軽減は0.6。</t>
        </r>
      </text>
    </comment>
    <comment ref="AD10" authorId="2" shapeId="0">
      <text>
        <r>
          <rPr>
            <b/>
            <sz val="9"/>
            <color indexed="81"/>
            <rFont val="ＭＳ Ｐゴシック"/>
            <family val="3"/>
            <charset val="128"/>
          </rPr>
          <t>Infomation Promotion Division:</t>
        </r>
        <r>
          <rPr>
            <sz val="9"/>
            <color indexed="81"/>
            <rFont val="ＭＳ Ｐゴシック"/>
            <family val="3"/>
            <charset val="128"/>
          </rPr>
          <t xml:space="preserve">
AB1セルの基準日から6年前（12ヶ月×6=72ヵ月）+1日以降の生年月日かどうか</t>
        </r>
      </text>
    </comment>
    <comment ref="AF10" authorId="1" shapeId="0">
      <text>
        <r>
          <rPr>
            <sz val="9"/>
            <color indexed="81"/>
            <rFont val="MS P ゴシック"/>
            <family val="3"/>
            <charset val="128"/>
          </rPr>
          <t>Q2セルの基準日から6年前（12ヶ月×8=216ヵ月）+1日以降の生年月日かどうか</t>
        </r>
      </text>
    </comment>
    <comment ref="AS10" authorId="2" shapeId="0">
      <text>
        <r>
          <rPr>
            <b/>
            <sz val="9"/>
            <color indexed="81"/>
            <rFont val="ＭＳ Ｐゴシック"/>
            <family val="3"/>
            <charset val="128"/>
          </rPr>
          <t>Infomation Promotion Division:</t>
        </r>
        <r>
          <rPr>
            <sz val="9"/>
            <color indexed="81"/>
            <rFont val="ＭＳ Ｐゴシック"/>
            <family val="3"/>
            <charset val="128"/>
          </rPr>
          <t xml:space="preserve">
軽減判定用離職軽減給与所得（所得控除反映後）</t>
        </r>
      </text>
    </comment>
    <comment ref="AW10" authorId="1" shapeId="0">
      <text>
        <r>
          <rPr>
            <b/>
            <sz val="9"/>
            <color indexed="81"/>
            <rFont val="MS P ゴシック"/>
            <family val="3"/>
            <charset val="128"/>
          </rPr>
          <t>年間の均等割額。加入月、法定軽減、未就学児反映した均等割。</t>
        </r>
      </text>
    </comment>
    <comment ref="C28" authorId="1" shapeId="0">
      <text>
        <r>
          <rPr>
            <b/>
            <sz val="9"/>
            <color indexed="81"/>
            <rFont val="MS P ゴシック"/>
            <family val="3"/>
            <charset val="128"/>
          </rPr>
          <t xml:space="preserve">員は有で固定
</t>
        </r>
      </text>
    </comment>
    <comment ref="D32" authorId="0" shapeId="0">
      <text>
        <r>
          <rPr>
            <sz val="9"/>
            <color indexed="81"/>
            <rFont val="MS P ゴシック"/>
            <family val="3"/>
            <charset val="128"/>
          </rPr>
          <t>令和7年度→令和8年度で改正あったが、数式違って単純なコピペでないので変更箇所空欄で対応。</t>
        </r>
      </text>
    </comment>
    <comment ref="AB32" authorId="1" shapeId="0">
      <text>
        <r>
          <rPr>
            <b/>
            <sz val="9"/>
            <color indexed="81"/>
            <rFont val="MS P ゴシック"/>
            <family val="3"/>
            <charset val="128"/>
          </rPr>
          <t>簡易試算シートは年度途中の加入・喪失ない想定。
世帯主は0か1か2
世帯員は0か1</t>
        </r>
      </text>
    </comment>
    <comment ref="AC32" authorId="1" shapeId="0">
      <text>
        <r>
          <rPr>
            <b/>
            <sz val="9"/>
            <color indexed="81"/>
            <rFont val="MS P ゴシック"/>
            <family val="3"/>
            <charset val="128"/>
          </rPr>
          <t>簡易試算シートは年度途中の加入・喪失ない想定。
世帯主は0か1か2
世帯員は0か1</t>
        </r>
      </text>
    </comment>
    <comment ref="AD32" authorId="1" shapeId="0">
      <text>
        <r>
          <rPr>
            <b/>
            <sz val="9"/>
            <color indexed="81"/>
            <rFont val="MS P ゴシック"/>
            <family val="3"/>
            <charset val="128"/>
          </rPr>
          <t>簡易試算シートは年度途中の加入・喪失ない想定。
世帯主は0か1か2
世帯員は0か1</t>
        </r>
      </text>
    </comment>
    <comment ref="AE32" authorId="1" shapeId="0">
      <text>
        <r>
          <rPr>
            <b/>
            <sz val="9"/>
            <color indexed="81"/>
            <rFont val="MS P ゴシック"/>
            <family val="3"/>
            <charset val="128"/>
          </rPr>
          <t>簡易試算シートは年度途中の加入・喪失ない想定。
世帯主は0か1か2
世帯員は0か1</t>
        </r>
      </text>
    </comment>
    <comment ref="AF32" authorId="1" shapeId="0">
      <text>
        <r>
          <rPr>
            <b/>
            <sz val="9"/>
            <color indexed="81"/>
            <rFont val="MS P ゴシック"/>
            <family val="3"/>
            <charset val="128"/>
          </rPr>
          <t>簡易試算シートは年度途中の加入・喪失ない想定。
世帯主は0か1か2
世帯員は0か1</t>
        </r>
      </text>
    </comment>
    <comment ref="AG32" authorId="1" shapeId="0">
      <text>
        <r>
          <rPr>
            <b/>
            <sz val="9"/>
            <color indexed="81"/>
            <rFont val="MS P ゴシック"/>
            <family val="3"/>
            <charset val="128"/>
          </rPr>
          <t>簡易試算シートは年度途中の加入・喪失ない想定。
世帯主は0か1か2
世帯員は0か1</t>
        </r>
      </text>
    </comment>
    <comment ref="AH32" authorId="1" shapeId="0">
      <text>
        <r>
          <rPr>
            <b/>
            <sz val="9"/>
            <color indexed="81"/>
            <rFont val="MS P ゴシック"/>
            <family val="3"/>
            <charset val="128"/>
          </rPr>
          <t>簡易試算シートは年度途中の加入・喪失ない想定。
世帯主は0か1か2
世帯員は0か1</t>
        </r>
      </text>
    </comment>
    <comment ref="AI32" authorId="1" shapeId="0">
      <text>
        <r>
          <rPr>
            <b/>
            <sz val="9"/>
            <color indexed="81"/>
            <rFont val="MS P ゴシック"/>
            <family val="3"/>
            <charset val="128"/>
          </rPr>
          <t>簡易試算シートは年度途中の加入・喪失ない想定。
世帯主は0か1か2
世帯員は0か1</t>
        </r>
      </text>
    </comment>
    <comment ref="AJ32" authorId="1" shapeId="0">
      <text>
        <r>
          <rPr>
            <b/>
            <sz val="9"/>
            <color indexed="81"/>
            <rFont val="MS P ゴシック"/>
            <family val="3"/>
            <charset val="128"/>
          </rPr>
          <t>簡易試算シートは年度途中の加入・喪失ない想定。
世帯主は0か1か2
世帯員は0か1</t>
        </r>
      </text>
    </comment>
    <comment ref="AK32" authorId="1" shapeId="0">
      <text>
        <r>
          <rPr>
            <b/>
            <sz val="9"/>
            <color indexed="81"/>
            <rFont val="MS P ゴシック"/>
            <family val="3"/>
            <charset val="128"/>
          </rPr>
          <t>簡易試算シートは年度途中の加入・喪失ない想定。
世帯主は0か1か2
世帯員は0か1</t>
        </r>
      </text>
    </comment>
    <comment ref="AL32" authorId="1" shapeId="0">
      <text>
        <r>
          <rPr>
            <b/>
            <sz val="9"/>
            <color indexed="81"/>
            <rFont val="MS P ゴシック"/>
            <family val="3"/>
            <charset val="128"/>
          </rPr>
          <t>簡易試算シートは年度途中の加入・喪失ない想定。
世帯主は0か1か2
世帯員は0か1</t>
        </r>
      </text>
    </comment>
    <comment ref="AM32" authorId="1" shapeId="0">
      <text>
        <r>
          <rPr>
            <b/>
            <sz val="9"/>
            <color indexed="81"/>
            <rFont val="MS P ゴシック"/>
            <family val="3"/>
            <charset val="128"/>
          </rPr>
          <t>簡易試算シートは年度途中の加入・喪失ない想定。
世帯主は0か1か2
世帯員は0か1</t>
        </r>
      </text>
    </comment>
    <comment ref="AW33" authorId="2" shapeId="0">
      <text>
        <r>
          <rPr>
            <b/>
            <sz val="9"/>
            <color indexed="81"/>
            <rFont val="ＭＳ Ｐゴシック"/>
            <family val="3"/>
            <charset val="128"/>
          </rPr>
          <t>Infomation Promotion Division:
未就学児+法定軽減なしの場合は、未就学児半額反映した数字。
未就学児+法定軽減ありの場合は、未就学児半額反映しない数字。法定軽減額の計算に使うため。</t>
        </r>
        <r>
          <rPr>
            <sz val="9"/>
            <color indexed="81"/>
            <rFont val="ＭＳ Ｐゴシック"/>
            <family val="3"/>
            <charset val="128"/>
          </rPr>
          <t xml:space="preserve">
</t>
        </r>
      </text>
    </comment>
    <comment ref="Z34" authorId="1" shapeId="0">
      <text>
        <r>
          <rPr>
            <sz val="9"/>
            <color indexed="81"/>
            <rFont val="MS P ゴシック"/>
            <family val="3"/>
            <charset val="128"/>
          </rPr>
          <t xml:space="preserve">簡易試算シートでは、年度途中の異動無い想定のため入力した人は「1」で固定。
</t>
        </r>
      </text>
    </comment>
    <comment ref="AW34" authorId="2" shapeId="0">
      <text>
        <r>
          <rPr>
            <b/>
            <sz val="9"/>
            <color indexed="81"/>
            <rFont val="ＭＳ Ｐゴシック"/>
            <family val="3"/>
            <charset val="128"/>
          </rPr>
          <t>Infomation Promotion Division:</t>
        </r>
        <r>
          <rPr>
            <sz val="9"/>
            <color indexed="81"/>
            <rFont val="ＭＳ Ｐゴシック"/>
            <family val="3"/>
            <charset val="128"/>
          </rPr>
          <t xml:space="preserve">
法定軽減＋未就学児考慮
例：７割軽減+未就学児
（均等割-均等割×0.7）×0.5＝軽減後均等割額（均等割額×0.15）→均等割額×0.85－均等割額×0.7=軽減後均等割額（均等割額×0.15）
エクセルは→以降の数式で計算しており、後で均等割額×0.7がひかれるため、ここのセルでは0.85で算出している。５割軽減は0.75、２割軽減は0.6。</t>
        </r>
      </text>
    </comment>
    <comment ref="AD35" authorId="2" shapeId="0">
      <text>
        <r>
          <rPr>
            <b/>
            <sz val="9"/>
            <color indexed="81"/>
            <rFont val="ＭＳ Ｐゴシック"/>
            <family val="3"/>
            <charset val="128"/>
          </rPr>
          <t>Infomation Promotion Division:</t>
        </r>
        <r>
          <rPr>
            <sz val="9"/>
            <color indexed="81"/>
            <rFont val="ＭＳ Ｐゴシック"/>
            <family val="3"/>
            <charset val="128"/>
          </rPr>
          <t xml:space="preserve">
AB1セルの基準日から6年前（12ヶ月×6=72ヵ月）+1日以降の生年月日かどうか</t>
        </r>
      </text>
    </comment>
    <comment ref="AF35" authorId="1" shapeId="0">
      <text>
        <r>
          <rPr>
            <sz val="9"/>
            <color indexed="81"/>
            <rFont val="MS P ゴシック"/>
            <family val="3"/>
            <charset val="128"/>
          </rPr>
          <t>Q2セルの基準日から6年前（12ヶ月×8=216ヵ月）+1日以降の生年月日かどうか</t>
        </r>
      </text>
    </comment>
    <comment ref="AS35" authorId="2" shapeId="0">
      <text>
        <r>
          <rPr>
            <b/>
            <sz val="9"/>
            <color indexed="81"/>
            <rFont val="ＭＳ Ｐゴシック"/>
            <family val="3"/>
            <charset val="128"/>
          </rPr>
          <t>Infomation Promotion Division:</t>
        </r>
        <r>
          <rPr>
            <sz val="9"/>
            <color indexed="81"/>
            <rFont val="ＭＳ Ｐゴシック"/>
            <family val="3"/>
            <charset val="128"/>
          </rPr>
          <t xml:space="preserve">
軽減判定用離職軽減給与所得（所得控除反映後）</t>
        </r>
      </text>
    </comment>
    <comment ref="AW35" authorId="1" shapeId="0">
      <text>
        <r>
          <rPr>
            <b/>
            <sz val="9"/>
            <color indexed="81"/>
            <rFont val="MS P ゴシック"/>
            <family val="3"/>
            <charset val="128"/>
          </rPr>
          <t>年間の均等割額。加入月、法定軽減、未就学児反映した均等割。</t>
        </r>
      </text>
    </comment>
    <comment ref="D57" authorId="0" shapeId="0">
      <text>
        <r>
          <rPr>
            <sz val="9"/>
            <color indexed="81"/>
            <rFont val="MS P ゴシック"/>
            <family val="3"/>
            <charset val="128"/>
          </rPr>
          <t>令和7年度→令和8年度で改正あったが、数式違って単純なコピペでないので変更箇所空欄で対応。</t>
        </r>
      </text>
    </comment>
    <comment ref="AB57" authorId="1" shapeId="0">
      <text>
        <r>
          <rPr>
            <b/>
            <sz val="9"/>
            <color indexed="81"/>
            <rFont val="MS P ゴシック"/>
            <family val="3"/>
            <charset val="128"/>
          </rPr>
          <t>簡易試算シートは年度途中の加入・喪失ない想定。
世帯主は0か1か2
世帯員は0か1</t>
        </r>
      </text>
    </comment>
    <comment ref="AC57" authorId="1" shapeId="0">
      <text>
        <r>
          <rPr>
            <b/>
            <sz val="9"/>
            <color indexed="81"/>
            <rFont val="MS P ゴシック"/>
            <family val="3"/>
            <charset val="128"/>
          </rPr>
          <t>簡易試算シートは年度途中の加入・喪失ない想定。
世帯主は0か1か2
世帯員は0か1</t>
        </r>
      </text>
    </comment>
    <comment ref="AD57" authorId="1" shapeId="0">
      <text>
        <r>
          <rPr>
            <b/>
            <sz val="9"/>
            <color indexed="81"/>
            <rFont val="MS P ゴシック"/>
            <family val="3"/>
            <charset val="128"/>
          </rPr>
          <t>簡易試算シートは年度途中の加入・喪失ない想定。
世帯主は0か1か2
世帯員は0か1</t>
        </r>
      </text>
    </comment>
    <comment ref="AE57" authorId="1" shapeId="0">
      <text>
        <r>
          <rPr>
            <b/>
            <sz val="9"/>
            <color indexed="81"/>
            <rFont val="MS P ゴシック"/>
            <family val="3"/>
            <charset val="128"/>
          </rPr>
          <t>簡易試算シートは年度途中の加入・喪失ない想定。
世帯主は0か1か2
世帯員は0か1</t>
        </r>
      </text>
    </comment>
    <comment ref="AF57" authorId="1" shapeId="0">
      <text>
        <r>
          <rPr>
            <b/>
            <sz val="9"/>
            <color indexed="81"/>
            <rFont val="MS P ゴシック"/>
            <family val="3"/>
            <charset val="128"/>
          </rPr>
          <t>簡易試算シートは年度途中の加入・喪失ない想定。
世帯主は0か1か2
世帯員は0か1</t>
        </r>
      </text>
    </comment>
    <comment ref="AG57" authorId="1" shapeId="0">
      <text>
        <r>
          <rPr>
            <b/>
            <sz val="9"/>
            <color indexed="81"/>
            <rFont val="MS P ゴシック"/>
            <family val="3"/>
            <charset val="128"/>
          </rPr>
          <t>簡易試算シートは年度途中の加入・喪失ない想定。
世帯主は0か1か2
世帯員は0か1</t>
        </r>
      </text>
    </comment>
    <comment ref="AH57" authorId="1" shapeId="0">
      <text>
        <r>
          <rPr>
            <b/>
            <sz val="9"/>
            <color indexed="81"/>
            <rFont val="MS P ゴシック"/>
            <family val="3"/>
            <charset val="128"/>
          </rPr>
          <t>簡易試算シートは年度途中の加入・喪失ない想定。
世帯主は0か1か2
世帯員は0か1</t>
        </r>
      </text>
    </comment>
    <comment ref="AI57" authorId="1" shapeId="0">
      <text>
        <r>
          <rPr>
            <b/>
            <sz val="9"/>
            <color indexed="81"/>
            <rFont val="MS P ゴシック"/>
            <family val="3"/>
            <charset val="128"/>
          </rPr>
          <t>簡易試算シートは年度途中の加入・喪失ない想定。
世帯主は0か1か2
世帯員は0か1</t>
        </r>
      </text>
    </comment>
    <comment ref="AJ57" authorId="1" shapeId="0">
      <text>
        <r>
          <rPr>
            <b/>
            <sz val="9"/>
            <color indexed="81"/>
            <rFont val="MS P ゴシック"/>
            <family val="3"/>
            <charset val="128"/>
          </rPr>
          <t>簡易試算シートは年度途中の加入・喪失ない想定。
世帯主は0か1か2
世帯員は0か1</t>
        </r>
      </text>
    </comment>
    <comment ref="AK57" authorId="1" shapeId="0">
      <text>
        <r>
          <rPr>
            <b/>
            <sz val="9"/>
            <color indexed="81"/>
            <rFont val="MS P ゴシック"/>
            <family val="3"/>
            <charset val="128"/>
          </rPr>
          <t>簡易試算シートは年度途中の加入・喪失ない想定。
世帯主は0か1か2
世帯員は0か1</t>
        </r>
      </text>
    </comment>
    <comment ref="AL57" authorId="1" shapeId="0">
      <text>
        <r>
          <rPr>
            <b/>
            <sz val="9"/>
            <color indexed="81"/>
            <rFont val="MS P ゴシック"/>
            <family val="3"/>
            <charset val="128"/>
          </rPr>
          <t>簡易試算シートは年度途中の加入・喪失ない想定。
世帯主は0か1か2
世帯員は0か1</t>
        </r>
      </text>
    </comment>
    <comment ref="AM57" authorId="1" shapeId="0">
      <text>
        <r>
          <rPr>
            <b/>
            <sz val="9"/>
            <color indexed="81"/>
            <rFont val="MS P ゴシック"/>
            <family val="3"/>
            <charset val="128"/>
          </rPr>
          <t>簡易試算シートは年度途中の加入・喪失ない想定。
世帯主は0か1か2
世帯員は0か1</t>
        </r>
      </text>
    </comment>
    <comment ref="AW58" authorId="2" shapeId="0">
      <text>
        <r>
          <rPr>
            <b/>
            <sz val="9"/>
            <color indexed="81"/>
            <rFont val="ＭＳ Ｐゴシック"/>
            <family val="3"/>
            <charset val="128"/>
          </rPr>
          <t>Infomation Promotion Division:
未就学児+法定軽減なしの場合は、未就学児半額反映した数字。
未就学児+法定軽減ありの場合は、未就学児半額反映しない数字。法定軽減額の計算に使うため。</t>
        </r>
        <r>
          <rPr>
            <sz val="9"/>
            <color indexed="81"/>
            <rFont val="ＭＳ Ｐゴシック"/>
            <family val="3"/>
            <charset val="128"/>
          </rPr>
          <t xml:space="preserve">
</t>
        </r>
      </text>
    </comment>
    <comment ref="Z59" authorId="1" shapeId="0">
      <text>
        <r>
          <rPr>
            <sz val="9"/>
            <color indexed="81"/>
            <rFont val="MS P ゴシック"/>
            <family val="3"/>
            <charset val="128"/>
          </rPr>
          <t xml:space="preserve">簡易試算シートでは、年度途中の異動無い想定のため入力した人は「1」で固定。
</t>
        </r>
      </text>
    </comment>
    <comment ref="AW59" authorId="2" shapeId="0">
      <text>
        <r>
          <rPr>
            <b/>
            <sz val="9"/>
            <color indexed="81"/>
            <rFont val="ＭＳ Ｐゴシック"/>
            <family val="3"/>
            <charset val="128"/>
          </rPr>
          <t>Infomation Promotion Division:</t>
        </r>
        <r>
          <rPr>
            <sz val="9"/>
            <color indexed="81"/>
            <rFont val="ＭＳ Ｐゴシック"/>
            <family val="3"/>
            <charset val="128"/>
          </rPr>
          <t xml:space="preserve">
法定軽減＋未就学児考慮
例：７割軽減+未就学児
（均等割-均等割×0.7）×0.5＝軽減後均等割額（均等割額×0.15）→均等割額×0.85－均等割額×0.7=軽減後均等割額（均等割額×0.15）
エクセルは→以降の数式で計算しており、後で均等割額×0.7がひかれるため、ここのセルでは0.85で算出している。５割軽減は0.75、２割軽減は0.6。</t>
        </r>
      </text>
    </comment>
    <comment ref="AD60" authorId="2" shapeId="0">
      <text>
        <r>
          <rPr>
            <b/>
            <sz val="9"/>
            <color indexed="81"/>
            <rFont val="ＭＳ Ｐゴシック"/>
            <family val="3"/>
            <charset val="128"/>
          </rPr>
          <t>Infomation Promotion Division:</t>
        </r>
        <r>
          <rPr>
            <sz val="9"/>
            <color indexed="81"/>
            <rFont val="ＭＳ Ｐゴシック"/>
            <family val="3"/>
            <charset val="128"/>
          </rPr>
          <t xml:space="preserve">
AB1セルの基準日から6年前（12ヶ月×6=72ヵ月）+1日以降の生年月日かどうか</t>
        </r>
      </text>
    </comment>
    <comment ref="AF60" authorId="1" shapeId="0">
      <text>
        <r>
          <rPr>
            <sz val="9"/>
            <color indexed="81"/>
            <rFont val="MS P ゴシック"/>
            <family val="3"/>
            <charset val="128"/>
          </rPr>
          <t>Q2セルの基準日から6年前（12ヶ月×8=216ヵ月）+1日以降の生年月日かどうか</t>
        </r>
      </text>
    </comment>
    <comment ref="AS60" authorId="2" shapeId="0">
      <text>
        <r>
          <rPr>
            <b/>
            <sz val="9"/>
            <color indexed="81"/>
            <rFont val="ＭＳ Ｐゴシック"/>
            <family val="3"/>
            <charset val="128"/>
          </rPr>
          <t>Infomation Promotion Division:</t>
        </r>
        <r>
          <rPr>
            <sz val="9"/>
            <color indexed="81"/>
            <rFont val="ＭＳ Ｐゴシック"/>
            <family val="3"/>
            <charset val="128"/>
          </rPr>
          <t xml:space="preserve">
軽減判定用離職軽減給与所得（所得控除反映後）</t>
        </r>
      </text>
    </comment>
    <comment ref="AW60" authorId="1" shapeId="0">
      <text>
        <r>
          <rPr>
            <b/>
            <sz val="9"/>
            <color indexed="81"/>
            <rFont val="MS P ゴシック"/>
            <family val="3"/>
            <charset val="128"/>
          </rPr>
          <t>年間の均等割額。加入月、法定軽減、未就学児反映した均等割。</t>
        </r>
      </text>
    </comment>
    <comment ref="D82" authorId="0" shapeId="0">
      <text>
        <r>
          <rPr>
            <sz val="9"/>
            <color indexed="81"/>
            <rFont val="MS P ゴシック"/>
            <family val="3"/>
            <charset val="128"/>
          </rPr>
          <t>令和7年度→令和8年度で改正あったが、数式違って単純なコピペでないので変更箇所空欄で対応。</t>
        </r>
      </text>
    </comment>
    <comment ref="AB82" authorId="1" shapeId="0">
      <text>
        <r>
          <rPr>
            <b/>
            <sz val="9"/>
            <color indexed="81"/>
            <rFont val="MS P ゴシック"/>
            <family val="3"/>
            <charset val="128"/>
          </rPr>
          <t>簡易試算シートは年度途中の加入・喪失ない想定。
世帯主は0か1か2
世帯員は0か1</t>
        </r>
      </text>
    </comment>
    <comment ref="AC82" authorId="1" shapeId="0">
      <text>
        <r>
          <rPr>
            <b/>
            <sz val="9"/>
            <color indexed="81"/>
            <rFont val="MS P ゴシック"/>
            <family val="3"/>
            <charset val="128"/>
          </rPr>
          <t>簡易試算シートは年度途中の加入・喪失ない想定。
世帯主は0か1か2
世帯員は0か1</t>
        </r>
      </text>
    </comment>
    <comment ref="AD82" authorId="1" shapeId="0">
      <text>
        <r>
          <rPr>
            <b/>
            <sz val="9"/>
            <color indexed="81"/>
            <rFont val="MS P ゴシック"/>
            <family val="3"/>
            <charset val="128"/>
          </rPr>
          <t>簡易試算シートは年度途中の加入・喪失ない想定。
世帯主は0か1か2
世帯員は0か1</t>
        </r>
      </text>
    </comment>
    <comment ref="AE82" authorId="1" shapeId="0">
      <text>
        <r>
          <rPr>
            <b/>
            <sz val="9"/>
            <color indexed="81"/>
            <rFont val="MS P ゴシック"/>
            <family val="3"/>
            <charset val="128"/>
          </rPr>
          <t>簡易試算シートは年度途中の加入・喪失ない想定。
世帯主は0か1か2
世帯員は0か1</t>
        </r>
      </text>
    </comment>
    <comment ref="AF82" authorId="1" shapeId="0">
      <text>
        <r>
          <rPr>
            <b/>
            <sz val="9"/>
            <color indexed="81"/>
            <rFont val="MS P ゴシック"/>
            <family val="3"/>
            <charset val="128"/>
          </rPr>
          <t>簡易試算シートは年度途中の加入・喪失ない想定。
世帯主は0か1か2
世帯員は0か1</t>
        </r>
      </text>
    </comment>
    <comment ref="AG82" authorId="1" shapeId="0">
      <text>
        <r>
          <rPr>
            <b/>
            <sz val="9"/>
            <color indexed="81"/>
            <rFont val="MS P ゴシック"/>
            <family val="3"/>
            <charset val="128"/>
          </rPr>
          <t>簡易試算シートは年度途中の加入・喪失ない想定。
世帯主は0か1か2
世帯員は0か1</t>
        </r>
      </text>
    </comment>
    <comment ref="AH82" authorId="1" shapeId="0">
      <text>
        <r>
          <rPr>
            <b/>
            <sz val="9"/>
            <color indexed="81"/>
            <rFont val="MS P ゴシック"/>
            <family val="3"/>
            <charset val="128"/>
          </rPr>
          <t>簡易試算シートは年度途中の加入・喪失ない想定。
世帯主は0か1か2
世帯員は0か1</t>
        </r>
      </text>
    </comment>
    <comment ref="AI82" authorId="1" shapeId="0">
      <text>
        <r>
          <rPr>
            <b/>
            <sz val="9"/>
            <color indexed="81"/>
            <rFont val="MS P ゴシック"/>
            <family val="3"/>
            <charset val="128"/>
          </rPr>
          <t>簡易試算シートは年度途中の加入・喪失ない想定。
世帯主は0か1か2
世帯員は0か1</t>
        </r>
      </text>
    </comment>
    <comment ref="AJ82" authorId="1" shapeId="0">
      <text>
        <r>
          <rPr>
            <b/>
            <sz val="9"/>
            <color indexed="81"/>
            <rFont val="MS P ゴシック"/>
            <family val="3"/>
            <charset val="128"/>
          </rPr>
          <t>簡易試算シートは年度途中の加入・喪失ない想定。
世帯主は0か1か2
世帯員は0か1</t>
        </r>
      </text>
    </comment>
    <comment ref="AK82" authorId="1" shapeId="0">
      <text>
        <r>
          <rPr>
            <b/>
            <sz val="9"/>
            <color indexed="81"/>
            <rFont val="MS P ゴシック"/>
            <family val="3"/>
            <charset val="128"/>
          </rPr>
          <t>簡易試算シートは年度途中の加入・喪失ない想定。
世帯主は0か1か2
世帯員は0か1</t>
        </r>
      </text>
    </comment>
    <comment ref="AL82" authorId="1" shapeId="0">
      <text>
        <r>
          <rPr>
            <b/>
            <sz val="9"/>
            <color indexed="81"/>
            <rFont val="MS P ゴシック"/>
            <family val="3"/>
            <charset val="128"/>
          </rPr>
          <t>簡易試算シートは年度途中の加入・喪失ない想定。
世帯主は0か1か2
世帯員は0か1</t>
        </r>
      </text>
    </comment>
    <comment ref="AM82" authorId="1" shapeId="0">
      <text>
        <r>
          <rPr>
            <b/>
            <sz val="9"/>
            <color indexed="81"/>
            <rFont val="MS P ゴシック"/>
            <family val="3"/>
            <charset val="128"/>
          </rPr>
          <t>簡易試算シートは年度途中の加入・喪失ない想定。
世帯主は0か1か2
世帯員は0か1</t>
        </r>
      </text>
    </comment>
    <comment ref="AW83" authorId="2" shapeId="0">
      <text>
        <r>
          <rPr>
            <b/>
            <sz val="9"/>
            <color indexed="81"/>
            <rFont val="ＭＳ Ｐゴシック"/>
            <family val="3"/>
            <charset val="128"/>
          </rPr>
          <t>Infomation Promotion Division:
未就学児+法定軽減なしの場合は、未就学児半額反映した数字。
未就学児+法定軽減ありの場合は、未就学児半額反映しない数字。法定軽減額の計算に使うため。</t>
        </r>
        <r>
          <rPr>
            <sz val="9"/>
            <color indexed="81"/>
            <rFont val="ＭＳ Ｐゴシック"/>
            <family val="3"/>
            <charset val="128"/>
          </rPr>
          <t xml:space="preserve">
</t>
        </r>
      </text>
    </comment>
    <comment ref="Z84" authorId="1" shapeId="0">
      <text>
        <r>
          <rPr>
            <sz val="9"/>
            <color indexed="81"/>
            <rFont val="MS P ゴシック"/>
            <family val="3"/>
            <charset val="128"/>
          </rPr>
          <t xml:space="preserve">簡易試算シートでは、年度途中の異動無い想定のため入力した人は「1」で固定。
</t>
        </r>
      </text>
    </comment>
    <comment ref="AW84" authorId="2" shapeId="0">
      <text>
        <r>
          <rPr>
            <b/>
            <sz val="9"/>
            <color indexed="81"/>
            <rFont val="ＭＳ Ｐゴシック"/>
            <family val="3"/>
            <charset val="128"/>
          </rPr>
          <t>Infomation Promotion Division:</t>
        </r>
        <r>
          <rPr>
            <sz val="9"/>
            <color indexed="81"/>
            <rFont val="ＭＳ Ｐゴシック"/>
            <family val="3"/>
            <charset val="128"/>
          </rPr>
          <t xml:space="preserve">
法定軽減＋未就学児考慮
例：７割軽減+未就学児
（均等割-均等割×0.7）×0.5＝軽減後均等割額（均等割額×0.15）→均等割額×0.85－均等割額×0.7=軽減後均等割額（均等割額×0.15）
エクセルは→以降の数式で計算しており、後で均等割額×0.7がひかれるため、ここのセルでは0.85で算出している。５割軽減は0.75、２割軽減は0.6。</t>
        </r>
      </text>
    </comment>
    <comment ref="AD85" authorId="2" shapeId="0">
      <text>
        <r>
          <rPr>
            <b/>
            <sz val="9"/>
            <color indexed="81"/>
            <rFont val="ＭＳ Ｐゴシック"/>
            <family val="3"/>
            <charset val="128"/>
          </rPr>
          <t>Infomation Promotion Division:</t>
        </r>
        <r>
          <rPr>
            <sz val="9"/>
            <color indexed="81"/>
            <rFont val="ＭＳ Ｐゴシック"/>
            <family val="3"/>
            <charset val="128"/>
          </rPr>
          <t xml:space="preserve">
AB1セルの基準日から6年前（12ヶ月×6=72ヵ月）+1日以降の生年月日かどうか</t>
        </r>
      </text>
    </comment>
    <comment ref="AF85" authorId="1" shapeId="0">
      <text>
        <r>
          <rPr>
            <sz val="9"/>
            <color indexed="81"/>
            <rFont val="MS P ゴシック"/>
            <family val="3"/>
            <charset val="128"/>
          </rPr>
          <t>Q2セルの基準日から6年前（12ヶ月×8=216ヵ月）+1日以降の生年月日かどうか</t>
        </r>
      </text>
    </comment>
    <comment ref="AS85" authorId="2" shapeId="0">
      <text>
        <r>
          <rPr>
            <b/>
            <sz val="9"/>
            <color indexed="81"/>
            <rFont val="ＭＳ Ｐゴシック"/>
            <family val="3"/>
            <charset val="128"/>
          </rPr>
          <t>Infomation Promotion Division:</t>
        </r>
        <r>
          <rPr>
            <sz val="9"/>
            <color indexed="81"/>
            <rFont val="ＭＳ Ｐゴシック"/>
            <family val="3"/>
            <charset val="128"/>
          </rPr>
          <t xml:space="preserve">
軽減判定用離職軽減給与所得（所得控除反映後）</t>
        </r>
      </text>
    </comment>
    <comment ref="AW85" authorId="1" shapeId="0">
      <text>
        <r>
          <rPr>
            <b/>
            <sz val="9"/>
            <color indexed="81"/>
            <rFont val="MS P ゴシック"/>
            <family val="3"/>
            <charset val="128"/>
          </rPr>
          <t>年間の均等割額。加入月、法定軽減、未就学児反映した均等割。</t>
        </r>
      </text>
    </comment>
    <comment ref="D107" authorId="0" shapeId="0">
      <text>
        <r>
          <rPr>
            <sz val="9"/>
            <color indexed="81"/>
            <rFont val="MS P ゴシック"/>
            <family val="3"/>
            <charset val="128"/>
          </rPr>
          <t>令和7年度→令和8年度で改正あったが、数式違って単純なコピペでないので変更箇所空欄で対応。</t>
        </r>
      </text>
    </comment>
    <comment ref="AB107" authorId="1" shapeId="0">
      <text>
        <r>
          <rPr>
            <b/>
            <sz val="9"/>
            <color indexed="81"/>
            <rFont val="MS P ゴシック"/>
            <family val="3"/>
            <charset val="128"/>
          </rPr>
          <t>簡易試算シートは年度途中の加入・喪失ない想定。
世帯主は0か1か2
世帯員は0か1</t>
        </r>
      </text>
    </comment>
    <comment ref="AC107" authorId="1" shapeId="0">
      <text>
        <r>
          <rPr>
            <b/>
            <sz val="9"/>
            <color indexed="81"/>
            <rFont val="MS P ゴシック"/>
            <family val="3"/>
            <charset val="128"/>
          </rPr>
          <t>簡易試算シートは年度途中の加入・喪失ない想定。
世帯主は0か1か2
世帯員は0か1</t>
        </r>
      </text>
    </comment>
    <comment ref="AD107" authorId="1" shapeId="0">
      <text>
        <r>
          <rPr>
            <b/>
            <sz val="9"/>
            <color indexed="81"/>
            <rFont val="MS P ゴシック"/>
            <family val="3"/>
            <charset val="128"/>
          </rPr>
          <t>簡易試算シートは年度途中の加入・喪失ない想定。
世帯主は0か1か2
世帯員は0か1</t>
        </r>
      </text>
    </comment>
    <comment ref="AE107" authorId="1" shapeId="0">
      <text>
        <r>
          <rPr>
            <b/>
            <sz val="9"/>
            <color indexed="81"/>
            <rFont val="MS P ゴシック"/>
            <family val="3"/>
            <charset val="128"/>
          </rPr>
          <t>簡易試算シートは年度途中の加入・喪失ない想定。
世帯主は0か1か2
世帯員は0か1</t>
        </r>
      </text>
    </comment>
    <comment ref="AF107" authorId="1" shapeId="0">
      <text>
        <r>
          <rPr>
            <b/>
            <sz val="9"/>
            <color indexed="81"/>
            <rFont val="MS P ゴシック"/>
            <family val="3"/>
            <charset val="128"/>
          </rPr>
          <t>簡易試算シートは年度途中の加入・喪失ない想定。
世帯主は0か1か2
世帯員は0か1</t>
        </r>
      </text>
    </comment>
    <comment ref="AG107" authorId="1" shapeId="0">
      <text>
        <r>
          <rPr>
            <b/>
            <sz val="9"/>
            <color indexed="81"/>
            <rFont val="MS P ゴシック"/>
            <family val="3"/>
            <charset val="128"/>
          </rPr>
          <t>簡易試算シートは年度途中の加入・喪失ない想定。
世帯主は0か1か2
世帯員は0か1</t>
        </r>
      </text>
    </comment>
    <comment ref="AH107" authorId="1" shapeId="0">
      <text>
        <r>
          <rPr>
            <b/>
            <sz val="9"/>
            <color indexed="81"/>
            <rFont val="MS P ゴシック"/>
            <family val="3"/>
            <charset val="128"/>
          </rPr>
          <t>簡易試算シートは年度途中の加入・喪失ない想定。
世帯主は0か1か2
世帯員は0か1</t>
        </r>
      </text>
    </comment>
    <comment ref="AI107" authorId="1" shapeId="0">
      <text>
        <r>
          <rPr>
            <b/>
            <sz val="9"/>
            <color indexed="81"/>
            <rFont val="MS P ゴシック"/>
            <family val="3"/>
            <charset val="128"/>
          </rPr>
          <t>簡易試算シートは年度途中の加入・喪失ない想定。
世帯主は0か1か2
世帯員は0か1</t>
        </r>
      </text>
    </comment>
    <comment ref="AJ107" authorId="1" shapeId="0">
      <text>
        <r>
          <rPr>
            <b/>
            <sz val="9"/>
            <color indexed="81"/>
            <rFont val="MS P ゴシック"/>
            <family val="3"/>
            <charset val="128"/>
          </rPr>
          <t>簡易試算シートは年度途中の加入・喪失ない想定。
世帯主は0か1か2
世帯員は0か1</t>
        </r>
      </text>
    </comment>
    <comment ref="AK107" authorId="1" shapeId="0">
      <text>
        <r>
          <rPr>
            <b/>
            <sz val="9"/>
            <color indexed="81"/>
            <rFont val="MS P ゴシック"/>
            <family val="3"/>
            <charset val="128"/>
          </rPr>
          <t>簡易試算シートは年度途中の加入・喪失ない想定。
世帯主は0か1か2
世帯員は0か1</t>
        </r>
      </text>
    </comment>
    <comment ref="AL107" authorId="1" shapeId="0">
      <text>
        <r>
          <rPr>
            <b/>
            <sz val="9"/>
            <color indexed="81"/>
            <rFont val="MS P ゴシック"/>
            <family val="3"/>
            <charset val="128"/>
          </rPr>
          <t>簡易試算シートは年度途中の加入・喪失ない想定。
世帯主は0か1か2
世帯員は0か1</t>
        </r>
      </text>
    </comment>
    <comment ref="AM107" authorId="1" shapeId="0">
      <text>
        <r>
          <rPr>
            <b/>
            <sz val="9"/>
            <color indexed="81"/>
            <rFont val="MS P ゴシック"/>
            <family val="3"/>
            <charset val="128"/>
          </rPr>
          <t>簡易試算シートは年度途中の加入・喪失ない想定。
世帯主は0か1か2
世帯員は0か1</t>
        </r>
      </text>
    </comment>
    <comment ref="AW108" authorId="2" shapeId="0">
      <text>
        <r>
          <rPr>
            <b/>
            <sz val="9"/>
            <color indexed="81"/>
            <rFont val="ＭＳ Ｐゴシック"/>
            <family val="3"/>
            <charset val="128"/>
          </rPr>
          <t>Infomation Promotion Division:
未就学児+法定軽減なしの場合は、未就学児半額反映した数字。
未就学児+法定軽減ありの場合は、未就学児半額反映しない数字。法定軽減額の計算に使うため。</t>
        </r>
        <r>
          <rPr>
            <sz val="9"/>
            <color indexed="81"/>
            <rFont val="ＭＳ Ｐゴシック"/>
            <family val="3"/>
            <charset val="128"/>
          </rPr>
          <t xml:space="preserve">
</t>
        </r>
      </text>
    </comment>
    <comment ref="Z109" authorId="1" shapeId="0">
      <text>
        <r>
          <rPr>
            <sz val="9"/>
            <color indexed="81"/>
            <rFont val="MS P ゴシック"/>
            <family val="3"/>
            <charset val="128"/>
          </rPr>
          <t xml:space="preserve">簡易試算シートでは、年度途中の異動無い想定のため入力した人は「1」で固定。
</t>
        </r>
      </text>
    </comment>
    <comment ref="AW109" authorId="2" shapeId="0">
      <text>
        <r>
          <rPr>
            <b/>
            <sz val="9"/>
            <color indexed="81"/>
            <rFont val="ＭＳ Ｐゴシック"/>
            <family val="3"/>
            <charset val="128"/>
          </rPr>
          <t>Infomation Promotion Division:</t>
        </r>
        <r>
          <rPr>
            <sz val="9"/>
            <color indexed="81"/>
            <rFont val="ＭＳ Ｐゴシック"/>
            <family val="3"/>
            <charset val="128"/>
          </rPr>
          <t xml:space="preserve">
法定軽減＋未就学児考慮
例：７割軽減+未就学児
（均等割-均等割×0.7）×0.5＝軽減後均等割額（均等割額×0.15）→均等割額×0.85－均等割額×0.7=軽減後均等割額（均等割額×0.15）
エクセルは→以降の数式で計算しており、後で均等割額×0.7がひかれるため、ここのセルでは0.85で算出している。５割軽減は0.75、２割軽減は0.6。</t>
        </r>
      </text>
    </comment>
    <comment ref="AD110" authorId="2" shapeId="0">
      <text>
        <r>
          <rPr>
            <b/>
            <sz val="9"/>
            <color indexed="81"/>
            <rFont val="ＭＳ Ｐゴシック"/>
            <family val="3"/>
            <charset val="128"/>
          </rPr>
          <t>Infomation Promotion Division:</t>
        </r>
        <r>
          <rPr>
            <sz val="9"/>
            <color indexed="81"/>
            <rFont val="ＭＳ Ｐゴシック"/>
            <family val="3"/>
            <charset val="128"/>
          </rPr>
          <t xml:space="preserve">
AB1セルの基準日から6年前（12ヶ月×6=72ヵ月）+1日以降の生年月日かどうか</t>
        </r>
      </text>
    </comment>
    <comment ref="AF110" authorId="1" shapeId="0">
      <text>
        <r>
          <rPr>
            <sz val="9"/>
            <color indexed="81"/>
            <rFont val="MS P ゴシック"/>
            <family val="3"/>
            <charset val="128"/>
          </rPr>
          <t>Q2セルの基準日から6年前（12ヶ月×8=216ヵ月）+1日以降の生年月日かどうか</t>
        </r>
      </text>
    </comment>
    <comment ref="AS110" authorId="2" shapeId="0">
      <text>
        <r>
          <rPr>
            <b/>
            <sz val="9"/>
            <color indexed="81"/>
            <rFont val="ＭＳ Ｐゴシック"/>
            <family val="3"/>
            <charset val="128"/>
          </rPr>
          <t>Infomation Promotion Division:</t>
        </r>
        <r>
          <rPr>
            <sz val="9"/>
            <color indexed="81"/>
            <rFont val="ＭＳ Ｐゴシック"/>
            <family val="3"/>
            <charset val="128"/>
          </rPr>
          <t xml:space="preserve">
軽減判定用離職軽減給与所得（所得控除反映後）</t>
        </r>
      </text>
    </comment>
    <comment ref="AW110" authorId="1" shapeId="0">
      <text>
        <r>
          <rPr>
            <b/>
            <sz val="9"/>
            <color indexed="81"/>
            <rFont val="MS P ゴシック"/>
            <family val="3"/>
            <charset val="128"/>
          </rPr>
          <t>年間の均等割額。加入月、法定軽減、未就学児反映した均等割。</t>
        </r>
      </text>
    </comment>
    <comment ref="D132" authorId="0" shapeId="0">
      <text>
        <r>
          <rPr>
            <sz val="9"/>
            <color indexed="81"/>
            <rFont val="MS P ゴシック"/>
            <family val="3"/>
            <charset val="128"/>
          </rPr>
          <t>令和7年度→令和8年度で改正あったが、数式違って単純なコピペでないので変更箇所空欄で対応。</t>
        </r>
      </text>
    </comment>
    <comment ref="AB132" authorId="1" shapeId="0">
      <text>
        <r>
          <rPr>
            <b/>
            <sz val="9"/>
            <color indexed="81"/>
            <rFont val="MS P ゴシック"/>
            <family val="3"/>
            <charset val="128"/>
          </rPr>
          <t>簡易試算シートは年度途中の加入・喪失ない想定。
世帯主は0か1か2
世帯員は0か1</t>
        </r>
      </text>
    </comment>
    <comment ref="AC132" authorId="1" shapeId="0">
      <text>
        <r>
          <rPr>
            <b/>
            <sz val="9"/>
            <color indexed="81"/>
            <rFont val="MS P ゴシック"/>
            <family val="3"/>
            <charset val="128"/>
          </rPr>
          <t>簡易試算シートは年度途中の加入・喪失ない想定。
世帯主は0か1か2
世帯員は0か1</t>
        </r>
      </text>
    </comment>
    <comment ref="AD132" authorId="1" shapeId="0">
      <text>
        <r>
          <rPr>
            <b/>
            <sz val="9"/>
            <color indexed="81"/>
            <rFont val="MS P ゴシック"/>
            <family val="3"/>
            <charset val="128"/>
          </rPr>
          <t>簡易試算シートは年度途中の加入・喪失ない想定。
世帯主は0か1か2
世帯員は0か1</t>
        </r>
      </text>
    </comment>
    <comment ref="AE132" authorId="1" shapeId="0">
      <text>
        <r>
          <rPr>
            <b/>
            <sz val="9"/>
            <color indexed="81"/>
            <rFont val="MS P ゴシック"/>
            <family val="3"/>
            <charset val="128"/>
          </rPr>
          <t>簡易試算シートは年度途中の加入・喪失ない想定。
世帯主は0か1か2
世帯員は0か1</t>
        </r>
      </text>
    </comment>
    <comment ref="AF132" authorId="1" shapeId="0">
      <text>
        <r>
          <rPr>
            <b/>
            <sz val="9"/>
            <color indexed="81"/>
            <rFont val="MS P ゴシック"/>
            <family val="3"/>
            <charset val="128"/>
          </rPr>
          <t>簡易試算シートは年度途中の加入・喪失ない想定。
世帯主は0か1か2
世帯員は0か1</t>
        </r>
      </text>
    </comment>
    <comment ref="AG132" authorId="1" shapeId="0">
      <text>
        <r>
          <rPr>
            <b/>
            <sz val="9"/>
            <color indexed="81"/>
            <rFont val="MS P ゴシック"/>
            <family val="3"/>
            <charset val="128"/>
          </rPr>
          <t>簡易試算シートは年度途中の加入・喪失ない想定。
世帯主は0か1か2
世帯員は0か1</t>
        </r>
      </text>
    </comment>
    <comment ref="AH132" authorId="1" shapeId="0">
      <text>
        <r>
          <rPr>
            <b/>
            <sz val="9"/>
            <color indexed="81"/>
            <rFont val="MS P ゴシック"/>
            <family val="3"/>
            <charset val="128"/>
          </rPr>
          <t>簡易試算シートは年度途中の加入・喪失ない想定。
世帯主は0か1か2
世帯員は0か1</t>
        </r>
      </text>
    </comment>
    <comment ref="AI132" authorId="1" shapeId="0">
      <text>
        <r>
          <rPr>
            <b/>
            <sz val="9"/>
            <color indexed="81"/>
            <rFont val="MS P ゴシック"/>
            <family val="3"/>
            <charset val="128"/>
          </rPr>
          <t>簡易試算シートは年度途中の加入・喪失ない想定。
世帯主は0か1か2
世帯員は0か1</t>
        </r>
      </text>
    </comment>
    <comment ref="AJ132" authorId="1" shapeId="0">
      <text>
        <r>
          <rPr>
            <b/>
            <sz val="9"/>
            <color indexed="81"/>
            <rFont val="MS P ゴシック"/>
            <family val="3"/>
            <charset val="128"/>
          </rPr>
          <t>簡易試算シートは年度途中の加入・喪失ない想定。
世帯主は0か1か2
世帯員は0か1</t>
        </r>
      </text>
    </comment>
    <comment ref="AK132" authorId="1" shapeId="0">
      <text>
        <r>
          <rPr>
            <b/>
            <sz val="9"/>
            <color indexed="81"/>
            <rFont val="MS P ゴシック"/>
            <family val="3"/>
            <charset val="128"/>
          </rPr>
          <t>簡易試算シートは年度途中の加入・喪失ない想定。
世帯主は0か1か2
世帯員は0か1</t>
        </r>
      </text>
    </comment>
    <comment ref="AL132" authorId="1" shapeId="0">
      <text>
        <r>
          <rPr>
            <b/>
            <sz val="9"/>
            <color indexed="81"/>
            <rFont val="MS P ゴシック"/>
            <family val="3"/>
            <charset val="128"/>
          </rPr>
          <t>簡易試算シートは年度途中の加入・喪失ない想定。
世帯主は0か1か2
世帯員は0か1</t>
        </r>
      </text>
    </comment>
    <comment ref="AM132" authorId="1" shapeId="0">
      <text>
        <r>
          <rPr>
            <b/>
            <sz val="9"/>
            <color indexed="81"/>
            <rFont val="MS P ゴシック"/>
            <family val="3"/>
            <charset val="128"/>
          </rPr>
          <t>簡易試算シートは年度途中の加入・喪失ない想定。
世帯主は0か1か2
世帯員は0か1</t>
        </r>
      </text>
    </comment>
    <comment ref="AW133" authorId="2" shapeId="0">
      <text>
        <r>
          <rPr>
            <b/>
            <sz val="9"/>
            <color indexed="81"/>
            <rFont val="ＭＳ Ｐゴシック"/>
            <family val="3"/>
            <charset val="128"/>
          </rPr>
          <t>Infomation Promotion Division:
未就学児+法定軽減なしの場合は、未就学児半額反映した数字。
未就学児+法定軽減ありの場合は、未就学児半額反映しない数字。法定軽減額の計算に使うため。</t>
        </r>
        <r>
          <rPr>
            <sz val="9"/>
            <color indexed="81"/>
            <rFont val="ＭＳ Ｐゴシック"/>
            <family val="3"/>
            <charset val="128"/>
          </rPr>
          <t xml:space="preserve">
</t>
        </r>
      </text>
    </comment>
    <comment ref="Z134" authorId="1" shapeId="0">
      <text>
        <r>
          <rPr>
            <sz val="9"/>
            <color indexed="81"/>
            <rFont val="MS P ゴシック"/>
            <family val="3"/>
            <charset val="128"/>
          </rPr>
          <t xml:space="preserve">簡易試算シートでは、年度途中の異動無い想定のため入力した人は「1」で固定。
</t>
        </r>
      </text>
    </comment>
    <comment ref="AW134" authorId="2" shapeId="0">
      <text>
        <r>
          <rPr>
            <b/>
            <sz val="9"/>
            <color indexed="81"/>
            <rFont val="ＭＳ Ｐゴシック"/>
            <family val="3"/>
            <charset val="128"/>
          </rPr>
          <t>Infomation Promotion Division:</t>
        </r>
        <r>
          <rPr>
            <sz val="9"/>
            <color indexed="81"/>
            <rFont val="ＭＳ Ｐゴシック"/>
            <family val="3"/>
            <charset val="128"/>
          </rPr>
          <t xml:space="preserve">
法定軽減＋未就学児考慮
例：７割軽減+未就学児
（均等割-均等割×0.7）×0.5＝軽減後均等割額（均等割額×0.15）→均等割額×0.85－均等割額×0.7=軽減後均等割額（均等割額×0.15）
エクセルは→以降の数式で計算しており、後で均等割額×0.7がひかれるため、ここのセルでは0.85で算出している。５割軽減は0.75、２割軽減は0.6。</t>
        </r>
      </text>
    </comment>
    <comment ref="AD135" authorId="2" shapeId="0">
      <text>
        <r>
          <rPr>
            <b/>
            <sz val="9"/>
            <color indexed="81"/>
            <rFont val="ＭＳ Ｐゴシック"/>
            <family val="3"/>
            <charset val="128"/>
          </rPr>
          <t>Infomation Promotion Division:</t>
        </r>
        <r>
          <rPr>
            <sz val="9"/>
            <color indexed="81"/>
            <rFont val="ＭＳ Ｐゴシック"/>
            <family val="3"/>
            <charset val="128"/>
          </rPr>
          <t xml:space="preserve">
AB1セルの基準日から6年前（12ヶ月×6=72ヵ月）+1日以降の生年月日かどうか</t>
        </r>
      </text>
    </comment>
    <comment ref="AF135" authorId="1" shapeId="0">
      <text>
        <r>
          <rPr>
            <sz val="9"/>
            <color indexed="81"/>
            <rFont val="MS P ゴシック"/>
            <family val="3"/>
            <charset val="128"/>
          </rPr>
          <t>Q2セルの基準日から6年前（12ヶ月×8=216ヵ月）+1日以降の生年月日かどうか</t>
        </r>
      </text>
    </comment>
    <comment ref="AS135" authorId="2" shapeId="0">
      <text>
        <r>
          <rPr>
            <b/>
            <sz val="9"/>
            <color indexed="81"/>
            <rFont val="ＭＳ Ｐゴシック"/>
            <family val="3"/>
            <charset val="128"/>
          </rPr>
          <t>Infomation Promotion Division:</t>
        </r>
        <r>
          <rPr>
            <sz val="9"/>
            <color indexed="81"/>
            <rFont val="ＭＳ Ｐゴシック"/>
            <family val="3"/>
            <charset val="128"/>
          </rPr>
          <t xml:space="preserve">
軽減判定用離職軽減給与所得（所得控除反映後）</t>
        </r>
      </text>
    </comment>
    <comment ref="AW135" authorId="1" shapeId="0">
      <text>
        <r>
          <rPr>
            <b/>
            <sz val="9"/>
            <color indexed="81"/>
            <rFont val="MS P ゴシック"/>
            <family val="3"/>
            <charset val="128"/>
          </rPr>
          <t>年間の均等割額。加入月、法定軽減、未就学児反映した均等割。</t>
        </r>
      </text>
    </comment>
    <comment ref="D157" authorId="0" shapeId="0">
      <text>
        <r>
          <rPr>
            <sz val="9"/>
            <color indexed="81"/>
            <rFont val="MS P ゴシック"/>
            <family val="3"/>
            <charset val="128"/>
          </rPr>
          <t>令和7年度→令和8年度で改正あったが、数式違って単純なコピペでないので変更箇所空欄で対応。</t>
        </r>
      </text>
    </comment>
    <comment ref="AB157" authorId="1" shapeId="0">
      <text>
        <r>
          <rPr>
            <b/>
            <sz val="9"/>
            <color indexed="81"/>
            <rFont val="MS P ゴシック"/>
            <family val="3"/>
            <charset val="128"/>
          </rPr>
          <t>簡易試算シートは年度途中の加入・喪失ない想定。
世帯主は0か1か2
世帯員は0か1</t>
        </r>
      </text>
    </comment>
    <comment ref="AC157" authorId="1" shapeId="0">
      <text>
        <r>
          <rPr>
            <b/>
            <sz val="9"/>
            <color indexed="81"/>
            <rFont val="MS P ゴシック"/>
            <family val="3"/>
            <charset val="128"/>
          </rPr>
          <t>簡易試算シートは年度途中の加入・喪失ない想定。
世帯主は0か1か2
世帯員は0か1</t>
        </r>
      </text>
    </comment>
    <comment ref="AD157" authorId="1" shapeId="0">
      <text>
        <r>
          <rPr>
            <b/>
            <sz val="9"/>
            <color indexed="81"/>
            <rFont val="MS P ゴシック"/>
            <family val="3"/>
            <charset val="128"/>
          </rPr>
          <t>簡易試算シートは年度途中の加入・喪失ない想定。
世帯主は0か1か2
世帯員は0か1</t>
        </r>
      </text>
    </comment>
    <comment ref="AE157" authorId="1" shapeId="0">
      <text>
        <r>
          <rPr>
            <b/>
            <sz val="9"/>
            <color indexed="81"/>
            <rFont val="MS P ゴシック"/>
            <family val="3"/>
            <charset val="128"/>
          </rPr>
          <t>簡易試算シートは年度途中の加入・喪失ない想定。
世帯主は0か1か2
世帯員は0か1</t>
        </r>
      </text>
    </comment>
    <comment ref="AF157" authorId="1" shapeId="0">
      <text>
        <r>
          <rPr>
            <b/>
            <sz val="9"/>
            <color indexed="81"/>
            <rFont val="MS P ゴシック"/>
            <family val="3"/>
            <charset val="128"/>
          </rPr>
          <t>簡易試算シートは年度途中の加入・喪失ない想定。
世帯主は0か1か2
世帯員は0か1</t>
        </r>
      </text>
    </comment>
    <comment ref="AG157" authorId="1" shapeId="0">
      <text>
        <r>
          <rPr>
            <b/>
            <sz val="9"/>
            <color indexed="81"/>
            <rFont val="MS P ゴシック"/>
            <family val="3"/>
            <charset val="128"/>
          </rPr>
          <t>簡易試算シートは年度途中の加入・喪失ない想定。
世帯主は0か1か2
世帯員は0か1</t>
        </r>
      </text>
    </comment>
    <comment ref="AH157" authorId="1" shapeId="0">
      <text>
        <r>
          <rPr>
            <b/>
            <sz val="9"/>
            <color indexed="81"/>
            <rFont val="MS P ゴシック"/>
            <family val="3"/>
            <charset val="128"/>
          </rPr>
          <t>簡易試算シートは年度途中の加入・喪失ない想定。
世帯主は0か1か2
世帯員は0か1</t>
        </r>
      </text>
    </comment>
    <comment ref="AI157" authorId="1" shapeId="0">
      <text>
        <r>
          <rPr>
            <b/>
            <sz val="9"/>
            <color indexed="81"/>
            <rFont val="MS P ゴシック"/>
            <family val="3"/>
            <charset val="128"/>
          </rPr>
          <t>簡易試算シートは年度途中の加入・喪失ない想定。
世帯主は0か1か2
世帯員は0か1</t>
        </r>
      </text>
    </comment>
    <comment ref="AJ157" authorId="1" shapeId="0">
      <text>
        <r>
          <rPr>
            <b/>
            <sz val="9"/>
            <color indexed="81"/>
            <rFont val="MS P ゴシック"/>
            <family val="3"/>
            <charset val="128"/>
          </rPr>
          <t>簡易試算シートは年度途中の加入・喪失ない想定。
世帯主は0か1か2
世帯員は0か1</t>
        </r>
      </text>
    </comment>
    <comment ref="AK157" authorId="1" shapeId="0">
      <text>
        <r>
          <rPr>
            <b/>
            <sz val="9"/>
            <color indexed="81"/>
            <rFont val="MS P ゴシック"/>
            <family val="3"/>
            <charset val="128"/>
          </rPr>
          <t>簡易試算シートは年度途中の加入・喪失ない想定。
世帯主は0か1か2
世帯員は0か1</t>
        </r>
      </text>
    </comment>
    <comment ref="AL157" authorId="1" shapeId="0">
      <text>
        <r>
          <rPr>
            <b/>
            <sz val="9"/>
            <color indexed="81"/>
            <rFont val="MS P ゴシック"/>
            <family val="3"/>
            <charset val="128"/>
          </rPr>
          <t>簡易試算シートは年度途中の加入・喪失ない想定。
世帯主は0か1か2
世帯員は0か1</t>
        </r>
      </text>
    </comment>
    <comment ref="AM157" authorId="1" shapeId="0">
      <text>
        <r>
          <rPr>
            <b/>
            <sz val="9"/>
            <color indexed="81"/>
            <rFont val="MS P ゴシック"/>
            <family val="3"/>
            <charset val="128"/>
          </rPr>
          <t>簡易試算シートは年度途中の加入・喪失ない想定。
世帯主は0か1か2
世帯員は0か1</t>
        </r>
      </text>
    </comment>
    <comment ref="AW158" authorId="2" shapeId="0">
      <text>
        <r>
          <rPr>
            <b/>
            <sz val="9"/>
            <color indexed="81"/>
            <rFont val="ＭＳ Ｐゴシック"/>
            <family val="3"/>
            <charset val="128"/>
          </rPr>
          <t>Infomation Promotion Division:
未就学児+法定軽減なしの場合は、未就学児半額反映した数字。
未就学児+法定軽減ありの場合は、未就学児半額反映しない数字。法定軽減額の計算に使うため。</t>
        </r>
        <r>
          <rPr>
            <sz val="9"/>
            <color indexed="81"/>
            <rFont val="ＭＳ Ｐゴシック"/>
            <family val="3"/>
            <charset val="128"/>
          </rPr>
          <t xml:space="preserve">
</t>
        </r>
      </text>
    </comment>
    <comment ref="Z159" authorId="1" shapeId="0">
      <text>
        <r>
          <rPr>
            <sz val="9"/>
            <color indexed="81"/>
            <rFont val="MS P ゴシック"/>
            <family val="3"/>
            <charset val="128"/>
          </rPr>
          <t xml:space="preserve">簡易試算シートでは、年度途中の異動無い想定のため入力した人は「1」で固定。
</t>
        </r>
      </text>
    </comment>
    <comment ref="AW159" authorId="2" shapeId="0">
      <text>
        <r>
          <rPr>
            <b/>
            <sz val="9"/>
            <color indexed="81"/>
            <rFont val="ＭＳ Ｐゴシック"/>
            <family val="3"/>
            <charset val="128"/>
          </rPr>
          <t>Infomation Promotion Division:</t>
        </r>
        <r>
          <rPr>
            <sz val="9"/>
            <color indexed="81"/>
            <rFont val="ＭＳ Ｐゴシック"/>
            <family val="3"/>
            <charset val="128"/>
          </rPr>
          <t xml:space="preserve">
法定軽減＋未就学児考慮
例：７割軽減+未就学児
（均等割-均等割×0.7）×0.5＝軽減後均等割額（均等割額×0.15）→均等割額×0.85－均等割額×0.7=軽減後均等割額（均等割額×0.15）
エクセルは→以降の数式で計算しており、後で均等割額×0.7がひかれるため、ここのセルでは0.85で算出している。５割軽減は0.75、２割軽減は0.6。</t>
        </r>
      </text>
    </comment>
    <comment ref="AD160" authorId="2" shapeId="0">
      <text>
        <r>
          <rPr>
            <b/>
            <sz val="9"/>
            <color indexed="81"/>
            <rFont val="ＭＳ Ｐゴシック"/>
            <family val="3"/>
            <charset val="128"/>
          </rPr>
          <t>Infomation Promotion Division:</t>
        </r>
        <r>
          <rPr>
            <sz val="9"/>
            <color indexed="81"/>
            <rFont val="ＭＳ Ｐゴシック"/>
            <family val="3"/>
            <charset val="128"/>
          </rPr>
          <t xml:space="preserve">
AB1セルの基準日から6年前（12ヶ月×6=72ヵ月）+1日以降の生年月日かどうか</t>
        </r>
      </text>
    </comment>
    <comment ref="AF160" authorId="1" shapeId="0">
      <text>
        <r>
          <rPr>
            <sz val="9"/>
            <color indexed="81"/>
            <rFont val="MS P ゴシック"/>
            <family val="3"/>
            <charset val="128"/>
          </rPr>
          <t>Q2セルの基準日から6年前（12ヶ月×8=216ヵ月）+1日以降の生年月日かどうか</t>
        </r>
      </text>
    </comment>
    <comment ref="AS160" authorId="2" shapeId="0">
      <text>
        <r>
          <rPr>
            <b/>
            <sz val="9"/>
            <color indexed="81"/>
            <rFont val="ＭＳ Ｐゴシック"/>
            <family val="3"/>
            <charset val="128"/>
          </rPr>
          <t>Infomation Promotion Division:</t>
        </r>
        <r>
          <rPr>
            <sz val="9"/>
            <color indexed="81"/>
            <rFont val="ＭＳ Ｐゴシック"/>
            <family val="3"/>
            <charset val="128"/>
          </rPr>
          <t xml:space="preserve">
軽減判定用離職軽減給与所得（所得控除反映後）</t>
        </r>
      </text>
    </comment>
    <comment ref="AW160" authorId="1" shapeId="0">
      <text>
        <r>
          <rPr>
            <b/>
            <sz val="9"/>
            <color indexed="81"/>
            <rFont val="MS P ゴシック"/>
            <family val="3"/>
            <charset val="128"/>
          </rPr>
          <t>年間の均等割額。加入月、法定軽減、未就学児反映した均等割。</t>
        </r>
      </text>
    </comment>
    <comment ref="D182" authorId="0" shapeId="0">
      <text>
        <r>
          <rPr>
            <sz val="9"/>
            <color indexed="81"/>
            <rFont val="MS P ゴシック"/>
            <family val="3"/>
            <charset val="128"/>
          </rPr>
          <t>令和7年度→令和8年度で改正あったが、数式違って単純なコピペでないので変更箇所空欄で対応。</t>
        </r>
      </text>
    </comment>
    <comment ref="AB182" authorId="1" shapeId="0">
      <text>
        <r>
          <rPr>
            <b/>
            <sz val="9"/>
            <color indexed="81"/>
            <rFont val="MS P ゴシック"/>
            <family val="3"/>
            <charset val="128"/>
          </rPr>
          <t>簡易試算シートは年度途中の加入・喪失ない想定。
世帯主は0か1か2
世帯員は0か1</t>
        </r>
      </text>
    </comment>
    <comment ref="AC182" authorId="1" shapeId="0">
      <text>
        <r>
          <rPr>
            <b/>
            <sz val="9"/>
            <color indexed="81"/>
            <rFont val="MS P ゴシック"/>
            <family val="3"/>
            <charset val="128"/>
          </rPr>
          <t>簡易試算シートは年度途中の加入・喪失ない想定。
世帯主は0か1か2
世帯員は0か1</t>
        </r>
      </text>
    </comment>
    <comment ref="AD182" authorId="1" shapeId="0">
      <text>
        <r>
          <rPr>
            <b/>
            <sz val="9"/>
            <color indexed="81"/>
            <rFont val="MS P ゴシック"/>
            <family val="3"/>
            <charset val="128"/>
          </rPr>
          <t>簡易試算シートは年度途中の加入・喪失ない想定。
世帯主は0か1か2
世帯員は0か1</t>
        </r>
      </text>
    </comment>
    <comment ref="AE182" authorId="1" shapeId="0">
      <text>
        <r>
          <rPr>
            <b/>
            <sz val="9"/>
            <color indexed="81"/>
            <rFont val="MS P ゴシック"/>
            <family val="3"/>
            <charset val="128"/>
          </rPr>
          <t>簡易試算シートは年度途中の加入・喪失ない想定。
世帯主は0か1か2
世帯員は0か1</t>
        </r>
      </text>
    </comment>
    <comment ref="AF182" authorId="1" shapeId="0">
      <text>
        <r>
          <rPr>
            <b/>
            <sz val="9"/>
            <color indexed="81"/>
            <rFont val="MS P ゴシック"/>
            <family val="3"/>
            <charset val="128"/>
          </rPr>
          <t>簡易試算シートは年度途中の加入・喪失ない想定。
世帯主は0か1か2
世帯員は0か1</t>
        </r>
      </text>
    </comment>
    <comment ref="AG182" authorId="1" shapeId="0">
      <text>
        <r>
          <rPr>
            <b/>
            <sz val="9"/>
            <color indexed="81"/>
            <rFont val="MS P ゴシック"/>
            <family val="3"/>
            <charset val="128"/>
          </rPr>
          <t>簡易試算シートは年度途中の加入・喪失ない想定。
世帯主は0か1か2
世帯員は0か1</t>
        </r>
      </text>
    </comment>
    <comment ref="AH182" authorId="1" shapeId="0">
      <text>
        <r>
          <rPr>
            <b/>
            <sz val="9"/>
            <color indexed="81"/>
            <rFont val="MS P ゴシック"/>
            <family val="3"/>
            <charset val="128"/>
          </rPr>
          <t>簡易試算シートは年度途中の加入・喪失ない想定。
世帯主は0か1か2
世帯員は0か1</t>
        </r>
      </text>
    </comment>
    <comment ref="AI182" authorId="1" shapeId="0">
      <text>
        <r>
          <rPr>
            <b/>
            <sz val="9"/>
            <color indexed="81"/>
            <rFont val="MS P ゴシック"/>
            <family val="3"/>
            <charset val="128"/>
          </rPr>
          <t>簡易試算シートは年度途中の加入・喪失ない想定。
世帯主は0か1か2
世帯員は0か1</t>
        </r>
      </text>
    </comment>
    <comment ref="AJ182" authorId="1" shapeId="0">
      <text>
        <r>
          <rPr>
            <b/>
            <sz val="9"/>
            <color indexed="81"/>
            <rFont val="MS P ゴシック"/>
            <family val="3"/>
            <charset val="128"/>
          </rPr>
          <t>簡易試算シートは年度途中の加入・喪失ない想定。
世帯主は0か1か2
世帯員は0か1</t>
        </r>
      </text>
    </comment>
    <comment ref="AK182" authorId="1" shapeId="0">
      <text>
        <r>
          <rPr>
            <b/>
            <sz val="9"/>
            <color indexed="81"/>
            <rFont val="MS P ゴシック"/>
            <family val="3"/>
            <charset val="128"/>
          </rPr>
          <t>簡易試算シートは年度途中の加入・喪失ない想定。
世帯主は0か1か2
世帯員は0か1</t>
        </r>
      </text>
    </comment>
    <comment ref="AL182" authorId="1" shapeId="0">
      <text>
        <r>
          <rPr>
            <b/>
            <sz val="9"/>
            <color indexed="81"/>
            <rFont val="MS P ゴシック"/>
            <family val="3"/>
            <charset val="128"/>
          </rPr>
          <t>簡易試算シートは年度途中の加入・喪失ない想定。
世帯主は0か1か2
世帯員は0か1</t>
        </r>
      </text>
    </comment>
    <comment ref="AM182" authorId="1" shapeId="0">
      <text>
        <r>
          <rPr>
            <b/>
            <sz val="9"/>
            <color indexed="81"/>
            <rFont val="MS P ゴシック"/>
            <family val="3"/>
            <charset val="128"/>
          </rPr>
          <t>簡易試算シートは年度途中の加入・喪失ない想定。
世帯主は0か1か2
世帯員は0か1</t>
        </r>
      </text>
    </comment>
    <comment ref="AW183" authorId="2" shapeId="0">
      <text>
        <r>
          <rPr>
            <b/>
            <sz val="9"/>
            <color indexed="81"/>
            <rFont val="ＭＳ Ｐゴシック"/>
            <family val="3"/>
            <charset val="128"/>
          </rPr>
          <t>Infomation Promotion Division:
未就学児+法定軽減なしの場合は、未就学児半額反映した数字。
未就学児+法定軽減ありの場合は、未就学児半額反映しない数字。法定軽減額の計算に使うため。</t>
        </r>
        <r>
          <rPr>
            <sz val="9"/>
            <color indexed="81"/>
            <rFont val="ＭＳ Ｐゴシック"/>
            <family val="3"/>
            <charset val="128"/>
          </rPr>
          <t xml:space="preserve">
</t>
        </r>
      </text>
    </comment>
    <comment ref="Z184" authorId="1" shapeId="0">
      <text>
        <r>
          <rPr>
            <sz val="9"/>
            <color indexed="81"/>
            <rFont val="MS P ゴシック"/>
            <family val="3"/>
            <charset val="128"/>
          </rPr>
          <t xml:space="preserve">簡易試算シートでは、年度途中の異動無い想定のため入力した人は「1」で固定。
</t>
        </r>
      </text>
    </comment>
    <comment ref="AW184" authorId="2" shapeId="0">
      <text>
        <r>
          <rPr>
            <b/>
            <sz val="9"/>
            <color indexed="81"/>
            <rFont val="ＭＳ Ｐゴシック"/>
            <family val="3"/>
            <charset val="128"/>
          </rPr>
          <t>Infomation Promotion Division:</t>
        </r>
        <r>
          <rPr>
            <sz val="9"/>
            <color indexed="81"/>
            <rFont val="ＭＳ Ｐゴシック"/>
            <family val="3"/>
            <charset val="128"/>
          </rPr>
          <t xml:space="preserve">
法定軽減＋未就学児考慮
例：７割軽減+未就学児
（均等割-均等割×0.7）×0.5＝軽減後均等割額（均等割額×0.15）→均等割額×0.85－均等割額×0.7=軽減後均等割額（均等割額×0.15）
エクセルは→以降の数式で計算しており、後で均等割額×0.7がひかれるため、ここのセルでは0.85で算出している。５割軽減は0.75、２割軽減は0.6。</t>
        </r>
      </text>
    </comment>
    <comment ref="AD185" authorId="2" shapeId="0">
      <text>
        <r>
          <rPr>
            <b/>
            <sz val="9"/>
            <color indexed="81"/>
            <rFont val="ＭＳ Ｐゴシック"/>
            <family val="3"/>
            <charset val="128"/>
          </rPr>
          <t>Infomation Promotion Division:</t>
        </r>
        <r>
          <rPr>
            <sz val="9"/>
            <color indexed="81"/>
            <rFont val="ＭＳ Ｐゴシック"/>
            <family val="3"/>
            <charset val="128"/>
          </rPr>
          <t xml:space="preserve">
AB1セルの基準日から6年前（12ヶ月×6=72ヵ月）+1日以降の生年月日かどうか</t>
        </r>
      </text>
    </comment>
    <comment ref="AF185" authorId="1" shapeId="0">
      <text>
        <r>
          <rPr>
            <sz val="9"/>
            <color indexed="81"/>
            <rFont val="MS P ゴシック"/>
            <family val="3"/>
            <charset val="128"/>
          </rPr>
          <t>Q2セルの基準日から6年前（12ヶ月×8=216ヵ月）+1日以降の生年月日かどうか</t>
        </r>
      </text>
    </comment>
    <comment ref="AS185" authorId="2" shapeId="0">
      <text>
        <r>
          <rPr>
            <b/>
            <sz val="9"/>
            <color indexed="81"/>
            <rFont val="ＭＳ Ｐゴシック"/>
            <family val="3"/>
            <charset val="128"/>
          </rPr>
          <t>Infomation Promotion Division:</t>
        </r>
        <r>
          <rPr>
            <sz val="9"/>
            <color indexed="81"/>
            <rFont val="ＭＳ Ｐゴシック"/>
            <family val="3"/>
            <charset val="128"/>
          </rPr>
          <t xml:space="preserve">
軽減判定用離職軽減給与所得（所得控除反映後）</t>
        </r>
      </text>
    </comment>
    <comment ref="AW185" authorId="1" shapeId="0">
      <text>
        <r>
          <rPr>
            <b/>
            <sz val="9"/>
            <color indexed="81"/>
            <rFont val="MS P ゴシック"/>
            <family val="3"/>
            <charset val="128"/>
          </rPr>
          <t>年間の均等割額。加入月、法定軽減、未就学児反映した均等割。</t>
        </r>
      </text>
    </comment>
    <comment ref="AW198" authorId="2" shapeId="0">
      <text>
        <r>
          <rPr>
            <b/>
            <sz val="9"/>
            <color indexed="81"/>
            <rFont val="ＭＳ Ｐゴシック"/>
            <family val="3"/>
            <charset val="128"/>
          </rPr>
          <t xml:space="preserve">Infomation Promotion Division:
未就学児がいない、または法定軽減なしのいずれかであれば、通常の均等割額使って計算。
それ以外は、未就学児いて、かつ法定軽減なので、未就学児+法定軽減用の均等割使う。軽減額は通常の均等割額使うままでＯＫ。
</t>
        </r>
        <r>
          <rPr>
            <sz val="9"/>
            <color indexed="81"/>
            <rFont val="ＭＳ Ｐゴシック"/>
            <family val="3"/>
            <charset val="128"/>
          </rPr>
          <t xml:space="preserve">
例：７割軽減+未就学児
（均等割-均等割×0.7）×0.5＝軽減後均等割額（均等割額×0.15）→均等割額×0.85－均等割額×0.7=軽減後均等割額（均等割額×0.15）</t>
        </r>
      </text>
    </comment>
  </commentList>
</comments>
</file>

<file path=xl/sharedStrings.xml><?xml version="1.0" encoding="utf-8"?>
<sst xmlns="http://schemas.openxmlformats.org/spreadsheetml/2006/main" count="1287" uniqueCount="208">
  <si>
    <t>入力フォーム</t>
    <rPh sb="0" eb="2">
      <t>ニュウリョク</t>
    </rPh>
    <phoneticPr fontId="1"/>
  </si>
  <si>
    <t>世帯主</t>
    <rPh sb="0" eb="3">
      <t>セタイヌシ</t>
    </rPh>
    <phoneticPr fontId="1"/>
  </si>
  <si>
    <t>←の色のセルに入力してください。</t>
    <rPh sb="2" eb="3">
      <t>イロ</t>
    </rPh>
    <rPh sb="7" eb="9">
      <t>ニュウリョク</t>
    </rPh>
    <phoneticPr fontId="1"/>
  </si>
  <si>
    <t>給与収入</t>
    <rPh sb="0" eb="2">
      <t>キュウヨ</t>
    </rPh>
    <rPh sb="2" eb="4">
      <t>シュウニュウ</t>
    </rPh>
    <phoneticPr fontId="1"/>
  </si>
  <si>
    <t>年金収入</t>
    <rPh sb="0" eb="2">
      <t>ネンキン</t>
    </rPh>
    <rPh sb="2" eb="4">
      <t>シュウニュウ</t>
    </rPh>
    <phoneticPr fontId="1"/>
  </si>
  <si>
    <t>その他の所得</t>
    <rPh sb="2" eb="3">
      <t>ホカ</t>
    </rPh>
    <rPh sb="4" eb="6">
      <t>ショトク</t>
    </rPh>
    <phoneticPr fontId="1"/>
  </si>
  <si>
    <t>保険料率</t>
    <rPh sb="0" eb="2">
      <t>ホケン</t>
    </rPh>
    <rPh sb="2" eb="3">
      <t>リョウ</t>
    </rPh>
    <rPh sb="3" eb="4">
      <t>リツ</t>
    </rPh>
    <phoneticPr fontId="1"/>
  </si>
  <si>
    <t>区分</t>
    <rPh sb="0" eb="2">
      <t>クブン</t>
    </rPh>
    <phoneticPr fontId="1"/>
  </si>
  <si>
    <t>所得割</t>
    <rPh sb="0" eb="2">
      <t>ショトク</t>
    </rPh>
    <rPh sb="2" eb="3">
      <t>ワリ</t>
    </rPh>
    <phoneticPr fontId="1"/>
  </si>
  <si>
    <t>均等割</t>
    <rPh sb="0" eb="3">
      <t>キントウワ</t>
    </rPh>
    <phoneticPr fontId="1"/>
  </si>
  <si>
    <t>平等割</t>
    <rPh sb="0" eb="2">
      <t>ビョウドウ</t>
    </rPh>
    <rPh sb="2" eb="3">
      <t>ワリ</t>
    </rPh>
    <phoneticPr fontId="1"/>
  </si>
  <si>
    <t>医療給付費分</t>
    <rPh sb="0" eb="2">
      <t>イリョウ</t>
    </rPh>
    <rPh sb="2" eb="4">
      <t>キュウフ</t>
    </rPh>
    <rPh sb="4" eb="5">
      <t>ヒ</t>
    </rPh>
    <rPh sb="5" eb="6">
      <t>ブン</t>
    </rPh>
    <phoneticPr fontId="1"/>
  </si>
  <si>
    <t>後期高齢者
支援金等分</t>
    <rPh sb="0" eb="2">
      <t>コウキ</t>
    </rPh>
    <rPh sb="2" eb="5">
      <t>コウレイシャ</t>
    </rPh>
    <rPh sb="6" eb="9">
      <t>シエンキン</t>
    </rPh>
    <rPh sb="9" eb="10">
      <t>ナド</t>
    </rPh>
    <rPh sb="10" eb="11">
      <t>ブン</t>
    </rPh>
    <phoneticPr fontId="1"/>
  </si>
  <si>
    <t>介護納付金分</t>
    <rPh sb="0" eb="2">
      <t>カイゴ</t>
    </rPh>
    <rPh sb="2" eb="5">
      <t>ノウフキン</t>
    </rPh>
    <rPh sb="5" eb="6">
      <t>ブン</t>
    </rPh>
    <phoneticPr fontId="1"/>
  </si>
  <si>
    <t>65歳未満</t>
    <rPh sb="2" eb="3">
      <t>サイ</t>
    </rPh>
    <rPh sb="3" eb="5">
      <t>ミマン</t>
    </rPh>
    <phoneticPr fontId="6"/>
  </si>
  <si>
    <t>公的年金以外合計所得</t>
    <rPh sb="0" eb="2">
      <t>コウテキ</t>
    </rPh>
    <rPh sb="2" eb="4">
      <t>ネンキン</t>
    </rPh>
    <rPh sb="4" eb="6">
      <t>イガイ</t>
    </rPh>
    <rPh sb="6" eb="8">
      <t>ゴウケイ</t>
    </rPh>
    <rPh sb="8" eb="10">
      <t>ショトク</t>
    </rPh>
    <phoneticPr fontId="6"/>
  </si>
  <si>
    <t>65歳以上</t>
    <rPh sb="2" eb="3">
      <t>サイ</t>
    </rPh>
    <rPh sb="3" eb="5">
      <t>イジョウ</t>
    </rPh>
    <phoneticPr fontId="6"/>
  </si>
  <si>
    <t>給与収入額</t>
    <rPh sb="0" eb="2">
      <t>キュウヨ</t>
    </rPh>
    <rPh sb="2" eb="4">
      <t>シュウニュウ</t>
    </rPh>
    <rPh sb="4" eb="5">
      <t>ガク</t>
    </rPh>
    <phoneticPr fontId="1"/>
  </si>
  <si>
    <t>金額表</t>
    <rPh sb="0" eb="2">
      <t>キンガク</t>
    </rPh>
    <rPh sb="2" eb="3">
      <t>ヒョウ</t>
    </rPh>
    <phoneticPr fontId="1"/>
  </si>
  <si>
    <t>該当</t>
    <rPh sb="0" eb="2">
      <t>ガイトウ</t>
    </rPh>
    <phoneticPr fontId="1"/>
  </si>
  <si>
    <t>給与所得額</t>
    <rPh sb="0" eb="2">
      <t>キュウヨ</t>
    </rPh>
    <rPh sb="2" eb="4">
      <t>ショトク</t>
    </rPh>
    <rPh sb="4" eb="5">
      <t>ガク</t>
    </rPh>
    <phoneticPr fontId="1"/>
  </si>
  <si>
    <t>年金所得額</t>
    <rPh sb="0" eb="2">
      <t>ネンキン</t>
    </rPh>
    <rPh sb="2" eb="5">
      <t>ショトクガク</t>
    </rPh>
    <phoneticPr fontId="1"/>
  </si>
  <si>
    <t>～</t>
    <phoneticPr fontId="1"/>
  </si>
  <si>
    <t>公的年金以外1000万円以下</t>
    <rPh sb="0" eb="2">
      <t>コウテキ</t>
    </rPh>
    <rPh sb="2" eb="4">
      <t>ネンキン</t>
    </rPh>
    <rPh sb="4" eb="6">
      <t>イガイ</t>
    </rPh>
    <rPh sb="10" eb="12">
      <t>マンエン</t>
    </rPh>
    <rPh sb="12" eb="14">
      <t>イカ</t>
    </rPh>
    <phoneticPr fontId="1"/>
  </si>
  <si>
    <t>～</t>
    <phoneticPr fontId="1"/>
  </si>
  <si>
    <t>公的年金以外1千万超2千万以下</t>
    <rPh sb="0" eb="2">
      <t>コウテキ</t>
    </rPh>
    <rPh sb="2" eb="4">
      <t>ネンキン</t>
    </rPh>
    <rPh sb="4" eb="6">
      <t>イガイ</t>
    </rPh>
    <rPh sb="7" eb="9">
      <t>センマン</t>
    </rPh>
    <rPh sb="9" eb="10">
      <t>コ</t>
    </rPh>
    <rPh sb="11" eb="13">
      <t>センマン</t>
    </rPh>
    <rPh sb="13" eb="15">
      <t>イカ</t>
    </rPh>
    <phoneticPr fontId="1"/>
  </si>
  <si>
    <t>～</t>
    <phoneticPr fontId="1"/>
  </si>
  <si>
    <t>公的年金以外2000万円超</t>
    <rPh sb="0" eb="2">
      <t>コウテキ</t>
    </rPh>
    <rPh sb="2" eb="4">
      <t>ネンキン</t>
    </rPh>
    <rPh sb="4" eb="6">
      <t>イガイ</t>
    </rPh>
    <rPh sb="10" eb="12">
      <t>マンエン</t>
    </rPh>
    <rPh sb="12" eb="13">
      <t>コ</t>
    </rPh>
    <phoneticPr fontId="1"/>
  </si>
  <si>
    <t>１月１日時点年齢</t>
    <rPh sb="1" eb="2">
      <t>ガツ</t>
    </rPh>
    <rPh sb="3" eb="4">
      <t>ニチ</t>
    </rPh>
    <rPh sb="4" eb="6">
      <t>ジテン</t>
    </rPh>
    <rPh sb="6" eb="8">
      <t>ネンレイ</t>
    </rPh>
    <phoneticPr fontId="1"/>
  </si>
  <si>
    <t>歳</t>
    <rPh sb="0" eb="1">
      <t>サイ</t>
    </rPh>
    <phoneticPr fontId="1"/>
  </si>
  <si>
    <t>基準日</t>
    <rPh sb="0" eb="3">
      <t>キジュンビ</t>
    </rPh>
    <phoneticPr fontId="1"/>
  </si>
  <si>
    <t>年金収入額</t>
    <phoneticPr fontId="6"/>
  </si>
  <si>
    <t>年金収入額</t>
    <phoneticPr fontId="6"/>
  </si>
  <si>
    <t>65歳未満の年金所得の計算</t>
    <rPh sb="2" eb="3">
      <t>サイ</t>
    </rPh>
    <rPh sb="3" eb="5">
      <t>ミマン</t>
    </rPh>
    <rPh sb="6" eb="8">
      <t>ネンキン</t>
    </rPh>
    <rPh sb="8" eb="10">
      <t>ショトク</t>
    </rPh>
    <rPh sb="11" eb="13">
      <t>ケイサン</t>
    </rPh>
    <phoneticPr fontId="1"/>
  </si>
  <si>
    <t>65歳以上の年金所得の計算</t>
    <rPh sb="2" eb="5">
      <t>サイイジョウ</t>
    </rPh>
    <rPh sb="6" eb="8">
      <t>ネンキン</t>
    </rPh>
    <rPh sb="8" eb="10">
      <t>ショトク</t>
    </rPh>
    <rPh sb="11" eb="13">
      <t>ケイサン</t>
    </rPh>
    <phoneticPr fontId="1"/>
  </si>
  <si>
    <t>世帯主</t>
    <rPh sb="0" eb="3">
      <t>セタイヌシ</t>
    </rPh>
    <phoneticPr fontId="1"/>
  </si>
  <si>
    <t>員1人目</t>
    <rPh sb="0" eb="1">
      <t>イン</t>
    </rPh>
    <rPh sb="1" eb="3">
      <t>ヒトリ</t>
    </rPh>
    <rPh sb="3" eb="4">
      <t>メ</t>
    </rPh>
    <phoneticPr fontId="1"/>
  </si>
  <si>
    <t>員2人目</t>
    <rPh sb="0" eb="1">
      <t>イン</t>
    </rPh>
    <rPh sb="2" eb="3">
      <t>ニン</t>
    </rPh>
    <rPh sb="3" eb="4">
      <t>メ</t>
    </rPh>
    <phoneticPr fontId="1"/>
  </si>
  <si>
    <t>員3人目</t>
    <rPh sb="0" eb="1">
      <t>イン</t>
    </rPh>
    <rPh sb="2" eb="3">
      <t>ニン</t>
    </rPh>
    <rPh sb="3" eb="4">
      <t>メ</t>
    </rPh>
    <phoneticPr fontId="1"/>
  </si>
  <si>
    <t>員4人目</t>
    <rPh sb="0" eb="1">
      <t>イン</t>
    </rPh>
    <rPh sb="2" eb="3">
      <t>ニン</t>
    </rPh>
    <rPh sb="3" eb="4">
      <t>メ</t>
    </rPh>
    <phoneticPr fontId="1"/>
  </si>
  <si>
    <t>員5人目</t>
    <rPh sb="0" eb="1">
      <t>イン</t>
    </rPh>
    <rPh sb="2" eb="3">
      <t>ニン</t>
    </rPh>
    <rPh sb="3" eb="4">
      <t>メ</t>
    </rPh>
    <phoneticPr fontId="1"/>
  </si>
  <si>
    <t>員6人目</t>
    <rPh sb="0" eb="1">
      <t>イン</t>
    </rPh>
    <rPh sb="2" eb="3">
      <t>ニン</t>
    </rPh>
    <rPh sb="3" eb="4">
      <t>メ</t>
    </rPh>
    <phoneticPr fontId="1"/>
  </si>
  <si>
    <t>員7人目</t>
    <rPh sb="0" eb="1">
      <t>イン</t>
    </rPh>
    <rPh sb="2" eb="3">
      <t>ニン</t>
    </rPh>
    <rPh sb="3" eb="4">
      <t>メ</t>
    </rPh>
    <phoneticPr fontId="1"/>
  </si>
  <si>
    <t>国保加入</t>
    <rPh sb="0" eb="2">
      <t>コクホ</t>
    </rPh>
    <rPh sb="2" eb="4">
      <t>カニュウ</t>
    </rPh>
    <phoneticPr fontId="1"/>
  </si>
  <si>
    <t>生年月日</t>
    <rPh sb="0" eb="2">
      <t>セイネン</t>
    </rPh>
    <rPh sb="2" eb="4">
      <t>ガッピ</t>
    </rPh>
    <phoneticPr fontId="1"/>
  </si>
  <si>
    <t>給与収入</t>
    <rPh sb="0" eb="2">
      <t>キュウヨ</t>
    </rPh>
    <rPh sb="2" eb="4">
      <t>シュウニュウ</t>
    </rPh>
    <phoneticPr fontId="1"/>
  </si>
  <si>
    <t>年金収入</t>
    <rPh sb="0" eb="2">
      <t>ネンキン</t>
    </rPh>
    <rPh sb="2" eb="4">
      <t>シュウニュウ</t>
    </rPh>
    <phoneticPr fontId="1"/>
  </si>
  <si>
    <t>その他の所得</t>
    <rPh sb="2" eb="3">
      <t>ホカ</t>
    </rPh>
    <rPh sb="4" eb="6">
      <t>ショトク</t>
    </rPh>
    <phoneticPr fontId="1"/>
  </si>
  <si>
    <t>基準日</t>
    <rPh sb="0" eb="3">
      <t>キジュンビ</t>
    </rPh>
    <phoneticPr fontId="6"/>
  </si>
  <si>
    <t>40歳到達日</t>
    <rPh sb="2" eb="3">
      <t>サイ</t>
    </rPh>
    <rPh sb="3" eb="5">
      <t>トウタツ</t>
    </rPh>
    <rPh sb="5" eb="6">
      <t>ビ</t>
    </rPh>
    <phoneticPr fontId="6"/>
  </si>
  <si>
    <t>65歳到達日</t>
    <rPh sb="2" eb="3">
      <t>サイ</t>
    </rPh>
    <rPh sb="3" eb="5">
      <t>トウタツ</t>
    </rPh>
    <rPh sb="5" eb="6">
      <t>ビ</t>
    </rPh>
    <phoneticPr fontId="6"/>
  </si>
  <si>
    <t>4月</t>
    <rPh sb="1" eb="2">
      <t>ガツ</t>
    </rPh>
    <phoneticPr fontId="6"/>
  </si>
  <si>
    <t>5月</t>
    <rPh sb="1" eb="2">
      <t>ガツ</t>
    </rPh>
    <phoneticPr fontId="6"/>
  </si>
  <si>
    <t>6月</t>
    <rPh sb="1" eb="2">
      <t>ガツ</t>
    </rPh>
    <phoneticPr fontId="6"/>
  </si>
  <si>
    <t>7月</t>
    <rPh sb="1" eb="2">
      <t>ガツ</t>
    </rPh>
    <phoneticPr fontId="6"/>
  </si>
  <si>
    <t>8月</t>
    <rPh sb="1" eb="2">
      <t>ガツ</t>
    </rPh>
    <phoneticPr fontId="6"/>
  </si>
  <si>
    <t>9月</t>
    <rPh sb="1" eb="2">
      <t>ガツ</t>
    </rPh>
    <phoneticPr fontId="6"/>
  </si>
  <si>
    <t>10月</t>
    <rPh sb="2" eb="3">
      <t>ガツ</t>
    </rPh>
    <phoneticPr fontId="6"/>
  </si>
  <si>
    <t>11月</t>
    <rPh sb="2" eb="3">
      <t>ガツ</t>
    </rPh>
    <phoneticPr fontId="6"/>
  </si>
  <si>
    <t>12月</t>
    <rPh sb="2" eb="3">
      <t>ガツ</t>
    </rPh>
    <phoneticPr fontId="6"/>
  </si>
  <si>
    <t>1月</t>
    <rPh sb="1" eb="2">
      <t>ガツ</t>
    </rPh>
    <phoneticPr fontId="6"/>
  </si>
  <si>
    <t>2月</t>
    <rPh sb="1" eb="2">
      <t>ガツ</t>
    </rPh>
    <phoneticPr fontId="6"/>
  </si>
  <si>
    <t>3月</t>
    <rPh sb="1" eb="2">
      <t>ガツ</t>
    </rPh>
    <phoneticPr fontId="6"/>
  </si>
  <si>
    <t>該当月数</t>
    <rPh sb="0" eb="2">
      <t>ガイトウ</t>
    </rPh>
    <rPh sb="2" eb="4">
      <t>ツキスウ</t>
    </rPh>
    <phoneticPr fontId="6"/>
  </si>
  <si>
    <t>該当サイン</t>
    <rPh sb="0" eb="2">
      <t>ガイトウ</t>
    </rPh>
    <phoneticPr fontId="6"/>
  </si>
  <si>
    <t>計算経過</t>
    <rPh sb="0" eb="2">
      <t>ケイサン</t>
    </rPh>
    <rPh sb="2" eb="4">
      <t>ケイカ</t>
    </rPh>
    <phoneticPr fontId="6"/>
  </si>
  <si>
    <t>算出課税所得</t>
    <rPh sb="0" eb="2">
      <t>サンシュツ</t>
    </rPh>
    <rPh sb="2" eb="4">
      <t>カゼイ</t>
    </rPh>
    <rPh sb="4" eb="6">
      <t>ショトク</t>
    </rPh>
    <phoneticPr fontId="6"/>
  </si>
  <si>
    <t>軽減判定所得</t>
    <rPh sb="0" eb="2">
      <t>ケイゲン</t>
    </rPh>
    <rPh sb="2" eb="4">
      <t>ハンテイ</t>
    </rPh>
    <rPh sb="4" eb="6">
      <t>ショトク</t>
    </rPh>
    <phoneticPr fontId="6"/>
  </si>
  <si>
    <t>医療</t>
    <rPh sb="0" eb="2">
      <t>イリョウ</t>
    </rPh>
    <phoneticPr fontId="6"/>
  </si>
  <si>
    <t>後期</t>
    <rPh sb="0" eb="2">
      <t>コウキ</t>
    </rPh>
    <phoneticPr fontId="6"/>
  </si>
  <si>
    <t>介護</t>
    <rPh sb="0" eb="2">
      <t>カイゴ</t>
    </rPh>
    <phoneticPr fontId="6"/>
  </si>
  <si>
    <t>介護分</t>
    <rPh sb="0" eb="2">
      <t>カイゴ</t>
    </rPh>
    <rPh sb="2" eb="3">
      <t>ブン</t>
    </rPh>
    <phoneticPr fontId="6"/>
  </si>
  <si>
    <t>給与１</t>
    <rPh sb="0" eb="2">
      <t>キュウヨ</t>
    </rPh>
    <phoneticPr fontId="6"/>
  </si>
  <si>
    <t>給与所得</t>
    <rPh sb="0" eb="2">
      <t>キュウヨ</t>
    </rPh>
    <rPh sb="2" eb="4">
      <t>ショトク</t>
    </rPh>
    <phoneticPr fontId="6"/>
  </si>
  <si>
    <t>所得割</t>
    <rPh sb="0" eb="2">
      <t>ショトク</t>
    </rPh>
    <rPh sb="2" eb="3">
      <t>ワリ</t>
    </rPh>
    <phoneticPr fontId="6"/>
  </si>
  <si>
    <t>加入月</t>
    <rPh sb="0" eb="2">
      <t>カニュウ</t>
    </rPh>
    <rPh sb="2" eb="3">
      <t>ツキ</t>
    </rPh>
    <phoneticPr fontId="6"/>
  </si>
  <si>
    <t>給与２</t>
    <rPh sb="0" eb="2">
      <t>キュウヨ</t>
    </rPh>
    <phoneticPr fontId="6"/>
  </si>
  <si>
    <t>離職軽減給与（所得金額控除反映後）</t>
    <rPh sb="0" eb="2">
      <t>リショク</t>
    </rPh>
    <rPh sb="2" eb="4">
      <t>ケイゲン</t>
    </rPh>
    <rPh sb="4" eb="6">
      <t>キュウヨ</t>
    </rPh>
    <phoneticPr fontId="6"/>
  </si>
  <si>
    <t>総所得金額等</t>
    <phoneticPr fontId="6"/>
  </si>
  <si>
    <t>離職軽減所得割</t>
    <rPh sb="0" eb="2">
      <t>リショク</t>
    </rPh>
    <rPh sb="2" eb="4">
      <t>ケイゲン</t>
    </rPh>
    <rPh sb="4" eb="6">
      <t>ショトク</t>
    </rPh>
    <rPh sb="6" eb="7">
      <t>ワリ</t>
    </rPh>
    <phoneticPr fontId="6"/>
  </si>
  <si>
    <t>1月1日年齢</t>
    <rPh sb="1" eb="2">
      <t>ガツ</t>
    </rPh>
    <rPh sb="3" eb="4">
      <t>ニチ</t>
    </rPh>
    <rPh sb="4" eb="6">
      <t>ネンレイ</t>
    </rPh>
    <phoneticPr fontId="6"/>
  </si>
  <si>
    <t>介護離職該当月</t>
    <rPh sb="0" eb="2">
      <t>カイゴ</t>
    </rPh>
    <rPh sb="2" eb="4">
      <t>リショク</t>
    </rPh>
    <rPh sb="4" eb="6">
      <t>ガイトウ</t>
    </rPh>
    <rPh sb="6" eb="7">
      <t>ヅキ</t>
    </rPh>
    <phoneticPr fontId="6"/>
  </si>
  <si>
    <t>給与聞き取り額</t>
    <rPh sb="0" eb="2">
      <t>キュウヨ</t>
    </rPh>
    <rPh sb="2" eb="3">
      <t>キ</t>
    </rPh>
    <rPh sb="4" eb="5">
      <t>ト</t>
    </rPh>
    <rPh sb="6" eb="7">
      <t>ガク</t>
    </rPh>
    <phoneticPr fontId="6"/>
  </si>
  <si>
    <r>
      <t>年金所得</t>
    </r>
    <r>
      <rPr>
        <sz val="8"/>
        <color indexed="12"/>
        <rFont val="ＭＳ Ｐ明朝"/>
        <family val="1"/>
        <charset val="128"/>
      </rPr>
      <t>(65歳未満）</t>
    </r>
    <rPh sb="0" eb="2">
      <t>ネンキン</t>
    </rPh>
    <rPh sb="2" eb="4">
      <t>ショトク</t>
    </rPh>
    <rPh sb="7" eb="8">
      <t>サイ</t>
    </rPh>
    <rPh sb="8" eb="10">
      <t>ミマン</t>
    </rPh>
    <phoneticPr fontId="6"/>
  </si>
  <si>
    <t>総所得金額等(離職軽減後）</t>
    <rPh sb="7" eb="9">
      <t>リショク</t>
    </rPh>
    <rPh sb="9" eb="11">
      <t>ケイゲン</t>
    </rPh>
    <rPh sb="11" eb="12">
      <t>ゴ</t>
    </rPh>
    <phoneticPr fontId="6"/>
  </si>
  <si>
    <t>均等割</t>
    <rPh sb="0" eb="3">
      <t>キントウワリ</t>
    </rPh>
    <phoneticPr fontId="6"/>
  </si>
  <si>
    <t>軽減判定対象者</t>
    <rPh sb="0" eb="2">
      <t>ケイゲン</t>
    </rPh>
    <rPh sb="2" eb="4">
      <t>ハンテイ</t>
    </rPh>
    <rPh sb="4" eb="7">
      <t>タイショウシャ</t>
    </rPh>
    <phoneticPr fontId="6"/>
  </si>
  <si>
    <t>離職軽減対象月</t>
    <rPh sb="0" eb="2">
      <t>リショク</t>
    </rPh>
    <rPh sb="2" eb="4">
      <t>ケイゲン</t>
    </rPh>
    <rPh sb="4" eb="6">
      <t>タイショウ</t>
    </rPh>
    <rPh sb="6" eb="7">
      <t>ヅキ</t>
    </rPh>
    <phoneticPr fontId="6"/>
  </si>
  <si>
    <t>その他所得</t>
    <rPh sb="2" eb="3">
      <t>タ</t>
    </rPh>
    <rPh sb="3" eb="5">
      <t>ショトク</t>
    </rPh>
    <phoneticPr fontId="6"/>
  </si>
  <si>
    <r>
      <t>年金所得</t>
    </r>
    <r>
      <rPr>
        <sz val="8"/>
        <color indexed="12"/>
        <rFont val="ＭＳ Ｐ明朝"/>
        <family val="1"/>
        <charset val="128"/>
      </rPr>
      <t>(65歳以上）</t>
    </r>
    <rPh sb="0" eb="2">
      <t>ネンキン</t>
    </rPh>
    <rPh sb="2" eb="4">
      <t>ショトク</t>
    </rPh>
    <rPh sb="7" eb="8">
      <t>サイ</t>
    </rPh>
    <rPh sb="8" eb="10">
      <t>イジョウ</t>
    </rPh>
    <phoneticPr fontId="6"/>
  </si>
  <si>
    <t>賦課標準額</t>
    <rPh sb="0" eb="2">
      <t>フカ</t>
    </rPh>
    <rPh sb="2" eb="4">
      <t>ヒョウジュン</t>
    </rPh>
    <rPh sb="4" eb="5">
      <t>ガク</t>
    </rPh>
    <phoneticPr fontId="6"/>
  </si>
  <si>
    <t>未就学児+法定軽減均等割</t>
    <rPh sb="0" eb="3">
      <t>ミシュウガク</t>
    </rPh>
    <rPh sb="3" eb="4">
      <t>ジ</t>
    </rPh>
    <rPh sb="5" eb="7">
      <t>ホウテイ</t>
    </rPh>
    <rPh sb="7" eb="9">
      <t>ケイゲン</t>
    </rPh>
    <rPh sb="9" eb="12">
      <t>キントウワ</t>
    </rPh>
    <phoneticPr fontId="6"/>
  </si>
  <si>
    <t>軽減判定所得が離職軽減か？</t>
    <rPh sb="0" eb="2">
      <t>ケイゲン</t>
    </rPh>
    <rPh sb="2" eb="4">
      <t>ハンテイ</t>
    </rPh>
    <rPh sb="4" eb="6">
      <t>ショトク</t>
    </rPh>
    <rPh sb="7" eb="9">
      <t>リショク</t>
    </rPh>
    <rPh sb="9" eb="11">
      <t>ケイゲン</t>
    </rPh>
    <phoneticPr fontId="6"/>
  </si>
  <si>
    <t>給与所得者等（軽減判定用）</t>
    <rPh sb="0" eb="2">
      <t>キュウヨ</t>
    </rPh>
    <rPh sb="2" eb="4">
      <t>ショトク</t>
    </rPh>
    <rPh sb="4" eb="5">
      <t>シャ</t>
    </rPh>
    <rPh sb="5" eb="6">
      <t>ナド</t>
    </rPh>
    <rPh sb="7" eb="9">
      <t>ケイゲン</t>
    </rPh>
    <rPh sb="9" eb="12">
      <t>ハンテイヨウ</t>
    </rPh>
    <phoneticPr fontId="6"/>
  </si>
  <si>
    <t>未就学児か→</t>
    <rPh sb="0" eb="4">
      <t>ミシュウガクジ</t>
    </rPh>
    <phoneticPr fontId="6"/>
  </si>
  <si>
    <t>給与所得（所得金額控除反映後）</t>
    <rPh sb="0" eb="2">
      <t>キュウヨ</t>
    </rPh>
    <rPh sb="2" eb="4">
      <t>ショトク</t>
    </rPh>
    <rPh sb="5" eb="7">
      <t>ショトク</t>
    </rPh>
    <rPh sb="7" eb="9">
      <t>キンガク</t>
    </rPh>
    <rPh sb="9" eb="11">
      <t>コウジョ</t>
    </rPh>
    <rPh sb="11" eb="13">
      <t>ハンエイ</t>
    </rPh>
    <rPh sb="13" eb="14">
      <t>ゴ</t>
    </rPh>
    <phoneticPr fontId="6"/>
  </si>
  <si>
    <t>軽減判定用給与所得（所得控除反映後）</t>
    <rPh sb="0" eb="2">
      <t>ケイゲン</t>
    </rPh>
    <rPh sb="2" eb="4">
      <t>ハンテイ</t>
    </rPh>
    <rPh sb="4" eb="5">
      <t>ヨウ</t>
    </rPh>
    <rPh sb="5" eb="7">
      <t>キュウヨ</t>
    </rPh>
    <rPh sb="7" eb="9">
      <t>ショトク</t>
    </rPh>
    <rPh sb="10" eb="12">
      <t>ショトク</t>
    </rPh>
    <rPh sb="12" eb="14">
      <t>コウジョ</t>
    </rPh>
    <rPh sb="14" eb="16">
      <t>ハンエイ</t>
    </rPh>
    <rPh sb="16" eb="17">
      <t>ゴ</t>
    </rPh>
    <phoneticPr fontId="6"/>
  </si>
  <si>
    <t>離職軽減賦課標準額</t>
    <rPh sb="0" eb="2">
      <t>リショク</t>
    </rPh>
    <rPh sb="2" eb="4">
      <t>ケイゲン</t>
    </rPh>
    <rPh sb="4" eb="6">
      <t>フカ</t>
    </rPh>
    <rPh sb="6" eb="8">
      <t>ヒョウジュン</t>
    </rPh>
    <rPh sb="8" eb="9">
      <t>ガク</t>
    </rPh>
    <phoneticPr fontId="6"/>
  </si>
  <si>
    <t>平等割額</t>
    <rPh sb="0" eb="2">
      <t>ビョウドウ</t>
    </rPh>
    <rPh sb="2" eb="3">
      <t>ワリ</t>
    </rPh>
    <rPh sb="3" eb="4">
      <t>ガク</t>
    </rPh>
    <phoneticPr fontId="6"/>
  </si>
  <si>
    <t>所得割額合計</t>
    <rPh sb="0" eb="2">
      <t>ショトク</t>
    </rPh>
    <rPh sb="2" eb="3">
      <t>ワリ</t>
    </rPh>
    <rPh sb="3" eb="4">
      <t>ガク</t>
    </rPh>
    <rPh sb="4" eb="6">
      <t>ゴウケイ</t>
    </rPh>
    <phoneticPr fontId="6"/>
  </si>
  <si>
    <t>給与所得者等人数</t>
    <rPh sb="0" eb="2">
      <t>キュウヨ</t>
    </rPh>
    <rPh sb="2" eb="4">
      <t>ショトク</t>
    </rPh>
    <rPh sb="4" eb="5">
      <t>シャ</t>
    </rPh>
    <rPh sb="5" eb="6">
      <t>ナド</t>
    </rPh>
    <rPh sb="6" eb="8">
      <t>ニンズウ</t>
    </rPh>
    <phoneticPr fontId="6"/>
  </si>
  <si>
    <t>賦課額合計</t>
    <rPh sb="0" eb="2">
      <t>フカ</t>
    </rPh>
    <rPh sb="2" eb="3">
      <t>ガク</t>
    </rPh>
    <rPh sb="3" eb="5">
      <t>ゴウケイ</t>
    </rPh>
    <phoneticPr fontId="6"/>
  </si>
  <si>
    <t>均等割額合計</t>
    <rPh sb="0" eb="3">
      <t>キントウワリ</t>
    </rPh>
    <rPh sb="3" eb="4">
      <t>ガク</t>
    </rPh>
    <rPh sb="4" eb="6">
      <t>ゴウケイ</t>
    </rPh>
    <phoneticPr fontId="6"/>
  </si>
  <si>
    <t>医療限度超過額</t>
    <rPh sb="0" eb="2">
      <t>イリョウ</t>
    </rPh>
    <rPh sb="2" eb="4">
      <t>ゲンド</t>
    </rPh>
    <rPh sb="4" eb="6">
      <t>チョウカ</t>
    </rPh>
    <rPh sb="6" eb="7">
      <t>ガク</t>
    </rPh>
    <phoneticPr fontId="6"/>
  </si>
  <si>
    <t>軽減判定エリア（確認用なので、本判定は右欄で修正すること。）</t>
    <rPh sb="0" eb="2">
      <t>ケイゲン</t>
    </rPh>
    <rPh sb="2" eb="4">
      <t>ハンテイ</t>
    </rPh>
    <rPh sb="8" eb="11">
      <t>カクニンヨウ</t>
    </rPh>
    <rPh sb="15" eb="16">
      <t>ホン</t>
    </rPh>
    <rPh sb="16" eb="18">
      <t>ハンテイ</t>
    </rPh>
    <rPh sb="19" eb="20">
      <t>ミギ</t>
    </rPh>
    <rPh sb="20" eb="21">
      <t>ラン</t>
    </rPh>
    <rPh sb="22" eb="24">
      <t>シュウセイ</t>
    </rPh>
    <phoneticPr fontId="6"/>
  </si>
  <si>
    <t>未就学児+法定軽減用均等割合計</t>
    <rPh sb="0" eb="3">
      <t>ミシュウガク</t>
    </rPh>
    <rPh sb="3" eb="4">
      <t>ジ</t>
    </rPh>
    <rPh sb="5" eb="7">
      <t>ホウテイ</t>
    </rPh>
    <rPh sb="7" eb="9">
      <t>ケイゲン</t>
    </rPh>
    <rPh sb="9" eb="10">
      <t>ヨウ</t>
    </rPh>
    <rPh sb="10" eb="13">
      <t>キントウワ</t>
    </rPh>
    <rPh sb="13" eb="15">
      <t>ゴウケイ</t>
    </rPh>
    <phoneticPr fontId="6"/>
  </si>
  <si>
    <t>7割軽減</t>
    <rPh sb="1" eb="2">
      <t>ワリ</t>
    </rPh>
    <rPh sb="2" eb="4">
      <t>ケイゲン</t>
    </rPh>
    <phoneticPr fontId="6"/>
  </si>
  <si>
    <t>軽減割合</t>
    <rPh sb="0" eb="2">
      <t>ケイゲン</t>
    </rPh>
    <rPh sb="2" eb="4">
      <t>ワリアイ</t>
    </rPh>
    <phoneticPr fontId="6"/>
  </si>
  <si>
    <t>軽減額</t>
    <rPh sb="0" eb="2">
      <t>ケイゲン</t>
    </rPh>
    <rPh sb="2" eb="3">
      <t>ガク</t>
    </rPh>
    <phoneticPr fontId="6"/>
  </si>
  <si>
    <t>限度超過額</t>
    <rPh sb="0" eb="2">
      <t>ゲンド</t>
    </rPh>
    <rPh sb="2" eb="4">
      <t>チョウカ</t>
    </rPh>
    <rPh sb="4" eb="5">
      <t>ガク</t>
    </rPh>
    <phoneticPr fontId="6"/>
  </si>
  <si>
    <t>5割軽減</t>
    <rPh sb="1" eb="2">
      <t>ワリ</t>
    </rPh>
    <rPh sb="2" eb="4">
      <t>ケイゲン</t>
    </rPh>
    <phoneticPr fontId="6"/>
  </si>
  <si>
    <t>各種合計</t>
    <rPh sb="0" eb="2">
      <t>カクシュ</t>
    </rPh>
    <rPh sb="2" eb="4">
      <t>ゴウケイ</t>
    </rPh>
    <phoneticPr fontId="6"/>
  </si>
  <si>
    <t>月割限度額</t>
    <rPh sb="0" eb="2">
      <t>ツキワリ</t>
    </rPh>
    <rPh sb="2" eb="4">
      <t>ゲンド</t>
    </rPh>
    <rPh sb="4" eb="5">
      <t>ガク</t>
    </rPh>
    <phoneticPr fontId="6"/>
  </si>
  <si>
    <t>限度超過額計</t>
    <rPh sb="0" eb="2">
      <t>ゲンド</t>
    </rPh>
    <rPh sb="2" eb="4">
      <t>チョウカ</t>
    </rPh>
    <rPh sb="4" eb="5">
      <t>ガク</t>
    </rPh>
    <rPh sb="5" eb="6">
      <t>ケイ</t>
    </rPh>
    <phoneticPr fontId="6"/>
  </si>
  <si>
    <t>合計</t>
    <rPh sb="0" eb="2">
      <t>ゴウケイ</t>
    </rPh>
    <phoneticPr fontId="6"/>
  </si>
  <si>
    <t>限度超額</t>
    <rPh sb="0" eb="2">
      <t>ゲンド</t>
    </rPh>
    <rPh sb="2" eb="3">
      <t>チョウ</t>
    </rPh>
    <rPh sb="3" eb="4">
      <t>ガク</t>
    </rPh>
    <phoneticPr fontId="6"/>
  </si>
  <si>
    <t>2割軽減</t>
    <rPh sb="1" eb="2">
      <t>ワリ</t>
    </rPh>
    <rPh sb="2" eb="4">
      <t>ケイゲン</t>
    </rPh>
    <phoneticPr fontId="6"/>
  </si>
  <si>
    <t>後期限度超過額</t>
    <rPh sb="0" eb="2">
      <t>コウキ</t>
    </rPh>
    <rPh sb="2" eb="4">
      <t>ゲンド</t>
    </rPh>
    <rPh sb="4" eb="6">
      <t>チョウカ</t>
    </rPh>
    <rPh sb="6" eb="7">
      <t>ガク</t>
    </rPh>
    <phoneticPr fontId="6"/>
  </si>
  <si>
    <t>未申告者</t>
    <rPh sb="0" eb="4">
      <t>ミシンコクシャ</t>
    </rPh>
    <phoneticPr fontId="6"/>
  </si>
  <si>
    <t>軽減判定エリアは検証のためのエリアです。</t>
    <rPh sb="0" eb="2">
      <t>ケイゲン</t>
    </rPh>
    <rPh sb="2" eb="4">
      <t>ハンテイ</t>
    </rPh>
    <rPh sb="8" eb="10">
      <t>ケンショウ</t>
    </rPh>
    <phoneticPr fontId="6"/>
  </si>
  <si>
    <t>介護限度超過額</t>
    <rPh sb="0" eb="2">
      <t>カイゴ</t>
    </rPh>
    <rPh sb="2" eb="4">
      <t>ゲンド</t>
    </rPh>
    <rPh sb="4" eb="6">
      <t>チョウカ</t>
    </rPh>
    <rPh sb="6" eb="7">
      <t>ガク</t>
    </rPh>
    <phoneticPr fontId="6"/>
  </si>
  <si>
    <t>数値によっては７５２すべての軽減判定に数字が入りますが、</t>
    <rPh sb="0" eb="2">
      <t>スウチ</t>
    </rPh>
    <rPh sb="14" eb="16">
      <t>ケイゲン</t>
    </rPh>
    <rPh sb="16" eb="18">
      <t>ハンテイ</t>
    </rPh>
    <rPh sb="19" eb="21">
      <t>スウジ</t>
    </rPh>
    <rPh sb="22" eb="23">
      <t>ハイ</t>
    </rPh>
    <phoneticPr fontId="6"/>
  </si>
  <si>
    <t>判定優先順位は上の方（7割軽減が一番高く、2割軽減が一番低い）が高くなります。</t>
    <rPh sb="0" eb="2">
      <t>ハンテイ</t>
    </rPh>
    <rPh sb="2" eb="4">
      <t>ユウセン</t>
    </rPh>
    <rPh sb="4" eb="6">
      <t>ジュンイ</t>
    </rPh>
    <rPh sb="7" eb="8">
      <t>ウエ</t>
    </rPh>
    <rPh sb="9" eb="10">
      <t>ホウ</t>
    </rPh>
    <rPh sb="12" eb="13">
      <t>ワリ</t>
    </rPh>
    <rPh sb="13" eb="15">
      <t>ケイゲン</t>
    </rPh>
    <rPh sb="16" eb="18">
      <t>イチバン</t>
    </rPh>
    <rPh sb="18" eb="19">
      <t>タカ</t>
    </rPh>
    <rPh sb="22" eb="23">
      <t>ワリ</t>
    </rPh>
    <rPh sb="23" eb="25">
      <t>ケイゲン</t>
    </rPh>
    <rPh sb="26" eb="28">
      <t>イチバン</t>
    </rPh>
    <rPh sb="28" eb="29">
      <t>ヒク</t>
    </rPh>
    <rPh sb="32" eb="33">
      <t>タカ</t>
    </rPh>
    <phoneticPr fontId="6"/>
  </si>
  <si>
    <t>保険料率</t>
    <rPh sb="0" eb="3">
      <t>ホケンリョウ</t>
    </rPh>
    <rPh sb="3" eb="4">
      <t>リツ</t>
    </rPh>
    <phoneticPr fontId="1"/>
  </si>
  <si>
    <t>世帯主</t>
    <rPh sb="0" eb="3">
      <t>セタイヌシ</t>
    </rPh>
    <phoneticPr fontId="1"/>
  </si>
  <si>
    <t>員2人目</t>
    <phoneticPr fontId="1"/>
  </si>
  <si>
    <t>員3人目</t>
    <phoneticPr fontId="1"/>
  </si>
  <si>
    <t>員4人目</t>
    <phoneticPr fontId="1"/>
  </si>
  <si>
    <t>員1人目</t>
    <phoneticPr fontId="1"/>
  </si>
  <si>
    <t>員5人目</t>
    <phoneticPr fontId="1"/>
  </si>
  <si>
    <t>（入力必須）</t>
    <rPh sb="1" eb="3">
      <t>ニュウリョク</t>
    </rPh>
    <rPh sb="3" eb="5">
      <t>ヒッス</t>
    </rPh>
    <phoneticPr fontId="1"/>
  </si>
  <si>
    <t>有</t>
    <rPh sb="0" eb="1">
      <t>アリ</t>
    </rPh>
    <phoneticPr fontId="1"/>
  </si>
  <si>
    <t>この色、簡易試算シートでは不使用</t>
    <rPh sb="2" eb="3">
      <t>イロ</t>
    </rPh>
    <rPh sb="4" eb="6">
      <t>カンイ</t>
    </rPh>
    <rPh sb="6" eb="8">
      <t>シサン</t>
    </rPh>
    <rPh sb="13" eb="16">
      <t>フシヨウ</t>
    </rPh>
    <phoneticPr fontId="1"/>
  </si>
  <si>
    <t>この色、主、員ごとに数式の参照セル異なる。コピペ後、要編集。</t>
    <rPh sb="2" eb="3">
      <t>イロ</t>
    </rPh>
    <rPh sb="4" eb="5">
      <t>ヌシ</t>
    </rPh>
    <rPh sb="6" eb="7">
      <t>イン</t>
    </rPh>
    <rPh sb="10" eb="12">
      <t>スウシキ</t>
    </rPh>
    <rPh sb="13" eb="15">
      <t>サンショウ</t>
    </rPh>
    <rPh sb="17" eb="18">
      <t>コト</t>
    </rPh>
    <rPh sb="24" eb="25">
      <t>ゴ</t>
    </rPh>
    <rPh sb="26" eb="27">
      <t>ヨウ</t>
    </rPh>
    <rPh sb="27" eb="29">
      <t>ヘンシュウ</t>
    </rPh>
    <phoneticPr fontId="1"/>
  </si>
  <si>
    <t>員6人目</t>
    <phoneticPr fontId="1"/>
  </si>
  <si>
    <t>員7人目</t>
    <phoneticPr fontId="1"/>
  </si>
  <si>
    <t>←年度変わったら、手入力</t>
    <rPh sb="1" eb="3">
      <t>ネンド</t>
    </rPh>
    <rPh sb="3" eb="4">
      <t>カ</t>
    </rPh>
    <rPh sb="9" eb="10">
      <t>テ</t>
    </rPh>
    <rPh sb="10" eb="12">
      <t>ニュウリョク</t>
    </rPh>
    <phoneticPr fontId="1"/>
  </si>
  <si>
    <t>軽減基準額</t>
    <rPh sb="0" eb="2">
      <t>ケイゲン</t>
    </rPh>
    <rPh sb="2" eb="4">
      <t>キジュン</t>
    </rPh>
    <rPh sb="4" eb="5">
      <t>ガク</t>
    </rPh>
    <phoneticPr fontId="1"/>
  </si>
  <si>
    <t>→手入力</t>
    <rPh sb="1" eb="2">
      <t>テ</t>
    </rPh>
    <rPh sb="2" eb="4">
      <t>ニュウリョク</t>
    </rPh>
    <phoneticPr fontId="1"/>
  </si>
  <si>
    <t>７割軽減</t>
    <rPh sb="1" eb="2">
      <t>ワリ</t>
    </rPh>
    <rPh sb="2" eb="4">
      <t>ケイゲン</t>
    </rPh>
    <phoneticPr fontId="1"/>
  </si>
  <si>
    <t>５割軽減</t>
    <rPh sb="1" eb="2">
      <t>ワリ</t>
    </rPh>
    <rPh sb="2" eb="4">
      <t>ケイゲン</t>
    </rPh>
    <phoneticPr fontId="1"/>
  </si>
  <si>
    <t>２割軽減</t>
    <rPh sb="1" eb="2">
      <t>ワリ</t>
    </rPh>
    <rPh sb="2" eb="4">
      <t>ケイゲン</t>
    </rPh>
    <phoneticPr fontId="1"/>
  </si>
  <si>
    <t>生年月日（必須）</t>
    <rPh sb="0" eb="2">
      <t>セイネン</t>
    </rPh>
    <rPh sb="2" eb="4">
      <t>ガッピ</t>
    </rPh>
    <rPh sb="5" eb="7">
      <t>ヒッス</t>
    </rPh>
    <phoneticPr fontId="1"/>
  </si>
  <si>
    <t>ここでの判定結果を基に、AQ198の計算式を組み立てています。</t>
    <rPh sb="4" eb="6">
      <t>ハンテイ</t>
    </rPh>
    <rPh sb="6" eb="8">
      <t>ケッカ</t>
    </rPh>
    <rPh sb="9" eb="10">
      <t>モト</t>
    </rPh>
    <rPh sb="18" eb="20">
      <t>ケイサン</t>
    </rPh>
    <rPh sb="20" eb="21">
      <t>シキ</t>
    </rPh>
    <rPh sb="22" eb="23">
      <t>ク</t>
    </rPh>
    <rPh sb="24" eb="25">
      <t>タ</t>
    </rPh>
    <phoneticPr fontId="6"/>
  </si>
  <si>
    <t>世帯加入月</t>
    <rPh sb="0" eb="2">
      <t>セタイ</t>
    </rPh>
    <rPh sb="2" eb="4">
      <t>カニュウ</t>
    </rPh>
    <rPh sb="4" eb="5">
      <t>ツキ</t>
    </rPh>
    <phoneticPr fontId="6"/>
  </si>
  <si>
    <t>(医)限度額</t>
    <rPh sb="1" eb="2">
      <t>イ</t>
    </rPh>
    <rPh sb="3" eb="5">
      <t>ゲンド</t>
    </rPh>
    <rPh sb="5" eb="6">
      <t>ガク</t>
    </rPh>
    <phoneticPr fontId="1"/>
  </si>
  <si>
    <t>(後)限度額</t>
    <rPh sb="1" eb="2">
      <t>ゴ</t>
    </rPh>
    <rPh sb="3" eb="5">
      <t>ゲンド</t>
    </rPh>
    <rPh sb="5" eb="6">
      <t>ガク</t>
    </rPh>
    <phoneticPr fontId="1"/>
  </si>
  <si>
    <t>(介)限度額</t>
    <rPh sb="1" eb="2">
      <t>カイ</t>
    </rPh>
    <rPh sb="3" eb="5">
      <t>ゲンド</t>
    </rPh>
    <rPh sb="5" eb="6">
      <t>ガク</t>
    </rPh>
    <phoneticPr fontId="1"/>
  </si>
  <si>
    <t>賦課限度額</t>
    <rPh sb="0" eb="2">
      <t>フカ</t>
    </rPh>
    <rPh sb="2" eb="4">
      <t>ゲンド</t>
    </rPh>
    <rPh sb="4" eb="5">
      <t>ガク</t>
    </rPh>
    <phoneticPr fontId="1"/>
  </si>
  <si>
    <t>（内訳）</t>
    <rPh sb="1" eb="3">
      <t>ウチワケ</t>
    </rPh>
    <phoneticPr fontId="1"/>
  </si>
  <si>
    <t>医療給付費分</t>
    <rPh sb="0" eb="2">
      <t>イリョウ</t>
    </rPh>
    <rPh sb="2" eb="4">
      <t>キュウフ</t>
    </rPh>
    <rPh sb="4" eb="5">
      <t>ヒ</t>
    </rPh>
    <rPh sb="5" eb="6">
      <t>ブン</t>
    </rPh>
    <phoneticPr fontId="1"/>
  </si>
  <si>
    <t>後期高齢者
支援金等分</t>
    <rPh sb="0" eb="2">
      <t>コウキ</t>
    </rPh>
    <rPh sb="2" eb="5">
      <t>コウレイシャ</t>
    </rPh>
    <rPh sb="6" eb="8">
      <t>シエン</t>
    </rPh>
    <rPh sb="8" eb="9">
      <t>キン</t>
    </rPh>
    <rPh sb="9" eb="10">
      <t>ナド</t>
    </rPh>
    <rPh sb="10" eb="11">
      <t>ブン</t>
    </rPh>
    <phoneticPr fontId="1"/>
  </si>
  <si>
    <r>
      <t xml:space="preserve">介護給付金分
</t>
    </r>
    <r>
      <rPr>
        <sz val="8"/>
        <color theme="1"/>
        <rFont val="ＭＳ Ｐゴシック"/>
        <family val="3"/>
        <charset val="128"/>
        <scheme val="minor"/>
      </rPr>
      <t>（40歳以上65歳未満）</t>
    </r>
    <rPh sb="0" eb="2">
      <t>カイゴ</t>
    </rPh>
    <rPh sb="2" eb="4">
      <t>キュウフ</t>
    </rPh>
    <rPh sb="4" eb="5">
      <t>キン</t>
    </rPh>
    <rPh sb="5" eb="6">
      <t>ブン</t>
    </rPh>
    <rPh sb="10" eb="11">
      <t>サイ</t>
    </rPh>
    <rPh sb="11" eb="13">
      <t>イジョウ</t>
    </rPh>
    <rPh sb="15" eb="16">
      <t>サイ</t>
    </rPh>
    <rPh sb="16" eb="18">
      <t>ミマン</t>
    </rPh>
    <phoneticPr fontId="1"/>
  </si>
  <si>
    <t>軽減判定</t>
    <rPh sb="0" eb="2">
      <t>ケイゲン</t>
    </rPh>
    <rPh sb="2" eb="4">
      <t>ハンテイ</t>
    </rPh>
    <phoneticPr fontId="1"/>
  </si>
  <si>
    <t>試算結果</t>
    <rPh sb="0" eb="2">
      <t>シサン</t>
    </rPh>
    <rPh sb="2" eb="4">
      <t>ケッカ</t>
    </rPh>
    <phoneticPr fontId="1"/>
  </si>
  <si>
    <t>主</t>
    <rPh sb="0" eb="1">
      <t>ヌシ</t>
    </rPh>
    <phoneticPr fontId="1"/>
  </si>
  <si>
    <t>員1</t>
    <rPh sb="0" eb="1">
      <t>イン</t>
    </rPh>
    <phoneticPr fontId="1"/>
  </si>
  <si>
    <t>員2</t>
    <rPh sb="0" eb="1">
      <t>イン</t>
    </rPh>
    <phoneticPr fontId="1"/>
  </si>
  <si>
    <t>員3</t>
    <rPh sb="0" eb="1">
      <t>イン</t>
    </rPh>
    <phoneticPr fontId="1"/>
  </si>
  <si>
    <t>員4</t>
    <rPh sb="0" eb="1">
      <t>イン</t>
    </rPh>
    <phoneticPr fontId="1"/>
  </si>
  <si>
    <t>員5</t>
    <rPh sb="0" eb="1">
      <t>イン</t>
    </rPh>
    <phoneticPr fontId="1"/>
  </si>
  <si>
    <t>員6</t>
    <rPh sb="0" eb="1">
      <t>イン</t>
    </rPh>
    <phoneticPr fontId="1"/>
  </si>
  <si>
    <t>員7</t>
    <rPh sb="0" eb="1">
      <t>イン</t>
    </rPh>
    <phoneticPr fontId="1"/>
  </si>
  <si>
    <t>限度額用均等割</t>
    <phoneticPr fontId="1"/>
  </si>
  <si>
    <t>65歳以上の年金所得の計算</t>
    <phoneticPr fontId="1"/>
  </si>
  <si>
    <r>
      <t xml:space="preserve">世帯主の国保加入
</t>
    </r>
    <r>
      <rPr>
        <sz val="9"/>
        <color theme="1"/>
        <rFont val="ＭＳ Ｐゴシック"/>
        <family val="3"/>
        <charset val="128"/>
        <scheme val="minor"/>
      </rPr>
      <t>(社保加入・後期高齢者の場合は無を選択)</t>
    </r>
    <rPh sb="0" eb="3">
      <t>セタイヌシ</t>
    </rPh>
    <rPh sb="4" eb="6">
      <t>コクホ</t>
    </rPh>
    <rPh sb="6" eb="8">
      <t>カニュウ</t>
    </rPh>
    <rPh sb="10" eb="12">
      <t>シャホ</t>
    </rPh>
    <rPh sb="12" eb="14">
      <t>カニュウ</t>
    </rPh>
    <rPh sb="15" eb="17">
      <t>コウキ</t>
    </rPh>
    <rPh sb="17" eb="19">
      <t>コウレイ</t>
    </rPh>
    <rPh sb="19" eb="20">
      <t>シャ</t>
    </rPh>
    <rPh sb="21" eb="23">
      <t>バアイ</t>
    </rPh>
    <rPh sb="24" eb="25">
      <t>ナ</t>
    </rPh>
    <rPh sb="26" eb="28">
      <t>センタク</t>
    </rPh>
    <phoneticPr fontId="1"/>
  </si>
  <si>
    <t>年間保険料</t>
    <rPh sb="0" eb="2">
      <t>ネンカン</t>
    </rPh>
    <rPh sb="2" eb="5">
      <t>ホケンリョウ</t>
    </rPh>
    <phoneticPr fontId="1"/>
  </si>
  <si>
    <t>Ｂ７のセルにエラーメッセージ表示する数式入っているので消さないように注意。</t>
    <rPh sb="14" eb="16">
      <t>ヒョウジ</t>
    </rPh>
    <rPh sb="18" eb="20">
      <t>スウシキ</t>
    </rPh>
    <rPh sb="20" eb="21">
      <t>ハイ</t>
    </rPh>
    <rPh sb="27" eb="28">
      <t>ケ</t>
    </rPh>
    <rPh sb="34" eb="36">
      <t>チュウイ</t>
    </rPh>
    <phoneticPr fontId="1"/>
  </si>
  <si>
    <t>数式→「=IF(AND('計算処理用（入力不可）'!Z8&gt;74,B6="有"),"↑75歳以上の方で国保加入有は選択できません。",IF(C6=0,"",IF(B6="","↑「国保加入有無」を選択してください。計算できません。","")))」</t>
    <rPh sb="0" eb="2">
      <t>スウシキ</t>
    </rPh>
    <phoneticPr fontId="1"/>
  </si>
  <si>
    <t>数式→「=IF(OR('計算処理用（入力不可）'!Z33&gt;74,'計算処理用（入力不可）'!Z58&gt;74,'計算処理用（入力不可）'!Z83&gt;74,'計算処理用（入力不可）'!Z108&gt;74,'計算処理用（入力不可）'!Z133&gt;74,'計算処理用（入力不可）'!Z158&gt;74,'計算処理用（入力不可）'!Z183&gt;74),"エラー：世帯員に75歳以上が入力されています",IF(AND(C10&lt;&gt;"",C6=""),"エラー：世帯主が入力されていません",""))」</t>
    <rPh sb="0" eb="2">
      <t>スウシキ</t>
    </rPh>
    <phoneticPr fontId="1"/>
  </si>
  <si>
    <t>Ｂ２５のセルにエラーメッセージ表示する数式入っているので消さないように注意。</t>
    <phoneticPr fontId="1"/>
  </si>
  <si>
    <t>修正履歴</t>
    <rPh sb="0" eb="2">
      <t>シュウセイ</t>
    </rPh>
    <rPh sb="2" eb="4">
      <t>リレキ</t>
    </rPh>
    <phoneticPr fontId="1"/>
  </si>
  <si>
    <t>軽減判定の際の給与所得者等のカウント。65歳以上公的年金収入110万円以上→125万円以上に修正。</t>
    <rPh sb="0" eb="2">
      <t>ケイゲン</t>
    </rPh>
    <rPh sb="2" eb="4">
      <t>ハンテイ</t>
    </rPh>
    <rPh sb="5" eb="6">
      <t>サイ</t>
    </rPh>
    <rPh sb="7" eb="9">
      <t>キュウヨ</t>
    </rPh>
    <rPh sb="9" eb="11">
      <t>ショトク</t>
    </rPh>
    <rPh sb="11" eb="12">
      <t>シャ</t>
    </rPh>
    <rPh sb="12" eb="13">
      <t>ナド</t>
    </rPh>
    <rPh sb="21" eb="22">
      <t>サイ</t>
    </rPh>
    <rPh sb="22" eb="24">
      <t>イジョウ</t>
    </rPh>
    <rPh sb="24" eb="26">
      <t>コウテキ</t>
    </rPh>
    <rPh sb="26" eb="28">
      <t>ネンキン</t>
    </rPh>
    <rPh sb="28" eb="30">
      <t>シュウニュウ</t>
    </rPh>
    <rPh sb="33" eb="34">
      <t>マン</t>
    </rPh>
    <rPh sb="34" eb="35">
      <t>エン</t>
    </rPh>
    <rPh sb="35" eb="37">
      <t>イジョウ</t>
    </rPh>
    <rPh sb="41" eb="43">
      <t>マンエン</t>
    </rPh>
    <rPh sb="43" eb="45">
      <t>イジョウ</t>
    </rPh>
    <rPh sb="46" eb="48">
      <t>シュウセイ</t>
    </rPh>
    <phoneticPr fontId="1"/>
  </si>
  <si>
    <r>
      <rPr>
        <b/>
        <sz val="10"/>
        <color theme="1"/>
        <rFont val="ＭＳ Ｐゴシック"/>
        <family val="3"/>
        <charset val="128"/>
        <scheme val="minor"/>
      </rPr>
      <t>注意事項</t>
    </r>
    <r>
      <rPr>
        <sz val="10"/>
        <color theme="1"/>
        <rFont val="ＭＳ Ｐゴシック"/>
        <family val="3"/>
        <charset val="128"/>
        <scheme val="minor"/>
      </rPr>
      <t xml:space="preserve">
</t>
    </r>
    <r>
      <rPr>
        <b/>
        <sz val="11"/>
        <color rgb="FFFF0000"/>
        <rFont val="ＭＳ Ｐゴシック"/>
        <family val="3"/>
        <charset val="128"/>
        <scheme val="minor"/>
      </rPr>
      <t>あくまでも概算ですので実際の金額と異なる場合があります。</t>
    </r>
    <r>
      <rPr>
        <b/>
        <sz val="10"/>
        <color theme="1"/>
        <rFont val="ＭＳ Ｐゴシック"/>
        <family val="3"/>
        <charset val="128"/>
        <scheme val="minor"/>
      </rPr>
      <t xml:space="preserve">
</t>
    </r>
    <r>
      <rPr>
        <sz val="10"/>
        <color theme="1"/>
        <rFont val="ＭＳ Ｐゴシック"/>
        <family val="3"/>
        <charset val="128"/>
        <scheme val="minor"/>
      </rPr>
      <t>・生年月日は、スラッシュ「/」で入力してください。（例）「1960/4/1」または「ｓ35/4/1」</t>
    </r>
    <r>
      <rPr>
        <b/>
        <sz val="10"/>
        <color theme="1"/>
        <rFont val="ＭＳ Ｐゴシック"/>
        <family val="3"/>
        <charset val="128"/>
        <scheme val="minor"/>
      </rPr>
      <t xml:space="preserve">
</t>
    </r>
    <r>
      <rPr>
        <sz val="10"/>
        <color theme="1"/>
        <rFont val="ＭＳ Ｐゴシック"/>
        <family val="3"/>
        <charset val="128"/>
        <scheme val="minor"/>
      </rPr>
      <t xml:space="preserve">・退職所得（源泉分離課税のもの）、障害年金・遺族年金などの非課税の年金は入力不要です。
・「その他の所得」は収入から必要経費を差し引いた後の金額を入力してください。
</t>
    </r>
    <r>
      <rPr>
        <b/>
        <sz val="10"/>
        <color theme="1"/>
        <rFont val="ＭＳ Ｐゴシック"/>
        <family val="3"/>
        <charset val="128"/>
        <scheme val="minor"/>
      </rPr>
      <t xml:space="preserve">
</t>
    </r>
    <r>
      <rPr>
        <b/>
        <sz val="10"/>
        <color rgb="FFFF0000"/>
        <rFont val="ＭＳ Ｐゴシック"/>
        <family val="3"/>
        <charset val="128"/>
        <scheme val="minor"/>
      </rPr>
      <t>以下の場合は正しく計算できません。</t>
    </r>
    <r>
      <rPr>
        <sz val="9"/>
        <rFont val="ＭＳ Ｐゴシック"/>
        <family val="3"/>
        <charset val="128"/>
        <scheme val="minor"/>
      </rPr>
      <t>（試算を御希望の場合は保険年金課保険料担当までお問い合わせください）</t>
    </r>
    <r>
      <rPr>
        <b/>
        <sz val="10"/>
        <color rgb="FFFF0000"/>
        <rFont val="ＭＳ Ｐゴシック"/>
        <family val="3"/>
        <charset val="128"/>
        <scheme val="minor"/>
      </rPr>
      <t xml:space="preserve">
</t>
    </r>
    <r>
      <rPr>
        <sz val="10"/>
        <color theme="1"/>
        <rFont val="ＭＳ Ｐゴシック"/>
        <family val="3"/>
        <charset val="128"/>
        <scheme val="minor"/>
      </rPr>
      <t xml:space="preserve">・年度の途中で世帯主や国保加入者数に変更がある
・年度の途中で後期高齢者医療制度へ移行する方（75歳になる方等）がいる
・世帯主と国保加入者の合計が９人以上
・未申告かつ被扶養者でない人がいる
・非自発的失業者に対する軽減に該当する
・マイナスの所得、特別控除のある所得、繰越損失、専従者控除、専従者給与等がある
・給与所得が850万円超で「所得金額調整控除」の適用がある
・後期高齢者医療制度移行に伴う軽減の適用がある
・減免の適用がある
・産前産後の軽減措置の適用がある
</t>
    </r>
    <rPh sb="0" eb="2">
      <t>チュウイ</t>
    </rPh>
    <rPh sb="2" eb="4">
      <t>ジコウ</t>
    </rPh>
    <rPh sb="10" eb="12">
      <t>ガイサン</t>
    </rPh>
    <rPh sb="16" eb="18">
      <t>ジッサイ</t>
    </rPh>
    <rPh sb="19" eb="21">
      <t>キンガク</t>
    </rPh>
    <rPh sb="22" eb="23">
      <t>コト</t>
    </rPh>
    <rPh sb="25" eb="27">
      <t>バアイ</t>
    </rPh>
    <rPh sb="35" eb="37">
      <t>セイネン</t>
    </rPh>
    <rPh sb="37" eb="39">
      <t>ガッピ</t>
    </rPh>
    <rPh sb="50" eb="52">
      <t>ニュウリョク</t>
    </rPh>
    <rPh sb="60" eb="61">
      <t>レイ</t>
    </rPh>
    <rPh sb="86" eb="88">
      <t>タイショク</t>
    </rPh>
    <rPh sb="88" eb="90">
      <t>ショトク</t>
    </rPh>
    <rPh sb="91" eb="93">
      <t>ゲンセン</t>
    </rPh>
    <rPh sb="93" eb="95">
      <t>ブンリ</t>
    </rPh>
    <rPh sb="95" eb="97">
      <t>カゼイ</t>
    </rPh>
    <rPh sb="102" eb="104">
      <t>ショウガイ</t>
    </rPh>
    <rPh sb="104" eb="106">
      <t>ネンキン</t>
    </rPh>
    <rPh sb="107" eb="109">
      <t>イゾク</t>
    </rPh>
    <rPh sb="109" eb="111">
      <t>ネンキン</t>
    </rPh>
    <rPh sb="114" eb="117">
      <t>ヒカゼイ</t>
    </rPh>
    <rPh sb="118" eb="120">
      <t>ネンキン</t>
    </rPh>
    <rPh sb="121" eb="123">
      <t>ニュウリョク</t>
    </rPh>
    <rPh sb="123" eb="125">
      <t>フヨウ</t>
    </rPh>
    <rPh sb="133" eb="134">
      <t>ホカ</t>
    </rPh>
    <rPh sb="135" eb="137">
      <t>ショトク</t>
    </rPh>
    <rPh sb="139" eb="141">
      <t>シュウニュウ</t>
    </rPh>
    <rPh sb="143" eb="145">
      <t>ヒツヨウ</t>
    </rPh>
    <rPh sb="145" eb="147">
      <t>ケイヒ</t>
    </rPh>
    <rPh sb="148" eb="149">
      <t>サ</t>
    </rPh>
    <rPh sb="150" eb="151">
      <t>ヒ</t>
    </rPh>
    <rPh sb="153" eb="154">
      <t>アト</t>
    </rPh>
    <rPh sb="155" eb="157">
      <t>キンガク</t>
    </rPh>
    <rPh sb="158" eb="160">
      <t>ニュウリョク</t>
    </rPh>
    <rPh sb="169" eb="171">
      <t>イカ</t>
    </rPh>
    <rPh sb="172" eb="174">
      <t>バアイ</t>
    </rPh>
    <rPh sb="175" eb="176">
      <t>タダ</t>
    </rPh>
    <rPh sb="178" eb="180">
      <t>ケイサン</t>
    </rPh>
    <rPh sb="222" eb="224">
      <t>ネンド</t>
    </rPh>
    <rPh sb="225" eb="227">
      <t>トチュウ</t>
    </rPh>
    <rPh sb="228" eb="231">
      <t>セタイヌシ</t>
    </rPh>
    <rPh sb="232" eb="234">
      <t>コクホ</t>
    </rPh>
    <rPh sb="234" eb="237">
      <t>カニュウシャ</t>
    </rPh>
    <rPh sb="237" eb="238">
      <t>スウ</t>
    </rPh>
    <rPh sb="239" eb="241">
      <t>ヘンコウ</t>
    </rPh>
    <rPh sb="246" eb="248">
      <t>ネンド</t>
    </rPh>
    <rPh sb="249" eb="251">
      <t>トチュウ</t>
    </rPh>
    <rPh sb="252" eb="254">
      <t>コウキ</t>
    </rPh>
    <rPh sb="254" eb="257">
      <t>コウレイシャ</t>
    </rPh>
    <rPh sb="257" eb="259">
      <t>イリョウ</t>
    </rPh>
    <rPh sb="259" eb="261">
      <t>セイド</t>
    </rPh>
    <rPh sb="262" eb="264">
      <t>イコウ</t>
    </rPh>
    <rPh sb="266" eb="267">
      <t>カタ</t>
    </rPh>
    <rPh sb="270" eb="271">
      <t>サイ</t>
    </rPh>
    <rPh sb="274" eb="275">
      <t>カタ</t>
    </rPh>
    <rPh sb="275" eb="276">
      <t>ナド</t>
    </rPh>
    <rPh sb="282" eb="285">
      <t>セタイヌシ</t>
    </rPh>
    <rPh sb="286" eb="288">
      <t>コクホ</t>
    </rPh>
    <rPh sb="288" eb="291">
      <t>カニュウシャ</t>
    </rPh>
    <rPh sb="292" eb="294">
      <t>ゴウケイ</t>
    </rPh>
    <rPh sb="296" eb="297">
      <t>ニン</t>
    </rPh>
    <rPh sb="297" eb="299">
      <t>イジョウ</t>
    </rPh>
    <rPh sb="306" eb="310">
      <t>ヒフヨウシャ</t>
    </rPh>
    <rPh sb="313" eb="314">
      <t>ヒト</t>
    </rPh>
    <rPh sb="319" eb="320">
      <t>ヒ</t>
    </rPh>
    <rPh sb="320" eb="322">
      <t>ジハツ</t>
    </rPh>
    <rPh sb="322" eb="323">
      <t>テキ</t>
    </rPh>
    <rPh sb="323" eb="326">
      <t>シツギョウシャ</t>
    </rPh>
    <rPh sb="327" eb="328">
      <t>タイ</t>
    </rPh>
    <rPh sb="330" eb="332">
      <t>ケイゲン</t>
    </rPh>
    <rPh sb="333" eb="335">
      <t>ガイトウ</t>
    </rPh>
    <rPh sb="344" eb="346">
      <t>ショトク</t>
    </rPh>
    <rPh sb="347" eb="349">
      <t>トクベツ</t>
    </rPh>
    <rPh sb="349" eb="351">
      <t>コウジョ</t>
    </rPh>
    <rPh sb="354" eb="356">
      <t>ショトク</t>
    </rPh>
    <rPh sb="357" eb="359">
      <t>クリコシ</t>
    </rPh>
    <rPh sb="359" eb="361">
      <t>ソンシツ</t>
    </rPh>
    <rPh sb="362" eb="365">
      <t>センジュウシャ</t>
    </rPh>
    <rPh sb="365" eb="367">
      <t>コウジョ</t>
    </rPh>
    <rPh sb="368" eb="371">
      <t>センジュウシャ</t>
    </rPh>
    <rPh sb="371" eb="373">
      <t>キュウヨ</t>
    </rPh>
    <rPh sb="373" eb="374">
      <t>ナド</t>
    </rPh>
    <rPh sb="379" eb="381">
      <t>キュウヨ</t>
    </rPh>
    <rPh sb="381" eb="383">
      <t>ショトク</t>
    </rPh>
    <rPh sb="387" eb="389">
      <t>マンエン</t>
    </rPh>
    <rPh sb="389" eb="390">
      <t>コ</t>
    </rPh>
    <rPh sb="392" eb="394">
      <t>ショトク</t>
    </rPh>
    <rPh sb="394" eb="396">
      <t>キンガク</t>
    </rPh>
    <rPh sb="396" eb="398">
      <t>チョウセイ</t>
    </rPh>
    <rPh sb="398" eb="400">
      <t>コウジョ</t>
    </rPh>
    <rPh sb="402" eb="404">
      <t>テキヨウ</t>
    </rPh>
    <rPh sb="409" eb="411">
      <t>コウキ</t>
    </rPh>
    <rPh sb="411" eb="414">
      <t>コウレイシャ</t>
    </rPh>
    <rPh sb="414" eb="416">
      <t>イリョウ</t>
    </rPh>
    <rPh sb="416" eb="418">
      <t>セイド</t>
    </rPh>
    <rPh sb="418" eb="420">
      <t>イコウ</t>
    </rPh>
    <rPh sb="421" eb="422">
      <t>トモナ</t>
    </rPh>
    <rPh sb="423" eb="425">
      <t>ケイゲン</t>
    </rPh>
    <rPh sb="426" eb="428">
      <t>テキヨウ</t>
    </rPh>
    <rPh sb="433" eb="435">
      <t>ゲンメン</t>
    </rPh>
    <rPh sb="436" eb="438">
      <t>テキヨウ</t>
    </rPh>
    <rPh sb="443" eb="445">
      <t>サンゼン</t>
    </rPh>
    <rPh sb="445" eb="447">
      <t>サンゴ</t>
    </rPh>
    <rPh sb="448" eb="450">
      <t>ケイゲン</t>
    </rPh>
    <rPh sb="450" eb="452">
      <t>ソチ</t>
    </rPh>
    <rPh sb="453" eb="455">
      <t>テキヨウ</t>
    </rPh>
    <phoneticPr fontId="1"/>
  </si>
  <si>
    <t>令和4年度→令和5年度へ修正</t>
    <rPh sb="0" eb="2">
      <t>レイワ</t>
    </rPh>
    <rPh sb="3" eb="5">
      <t>ネンド</t>
    </rPh>
    <rPh sb="6" eb="8">
      <t>レイワ</t>
    </rPh>
    <rPh sb="9" eb="11">
      <t>ネンド</t>
    </rPh>
    <rPh sb="12" eb="14">
      <t>シュウセイ</t>
    </rPh>
    <phoneticPr fontId="1"/>
  </si>
  <si>
    <t>以下の場合は正しく計算できません。に「産前産後の軽減措置の適用がある」を追加。（R6.1から開始予定）</t>
    <rPh sb="19" eb="21">
      <t>サンゼン</t>
    </rPh>
    <rPh sb="21" eb="23">
      <t>サンゴ</t>
    </rPh>
    <rPh sb="24" eb="26">
      <t>ケイゲン</t>
    </rPh>
    <rPh sb="26" eb="28">
      <t>ソチ</t>
    </rPh>
    <rPh sb="29" eb="31">
      <t>テキヨウ</t>
    </rPh>
    <rPh sb="36" eb="38">
      <t>ツイカ</t>
    </rPh>
    <phoneticPr fontId="1"/>
  </si>
  <si>
    <t>R5年度限度額、保険料率に変更。</t>
    <rPh sb="2" eb="4">
      <t>ネンド</t>
    </rPh>
    <rPh sb="4" eb="6">
      <t>ゲンド</t>
    </rPh>
    <rPh sb="6" eb="7">
      <t>ガク</t>
    </rPh>
    <rPh sb="8" eb="10">
      <t>ホケン</t>
    </rPh>
    <rPh sb="10" eb="11">
      <t>リョウ</t>
    </rPh>
    <rPh sb="11" eb="12">
      <t>リツ</t>
    </rPh>
    <rPh sb="13" eb="15">
      <t>ヘンコウ</t>
    </rPh>
    <phoneticPr fontId="1"/>
  </si>
  <si>
    <t>限度額の計算で端数の数式を修正。（給与収入3000万円の時の計算が変だった。）</t>
    <rPh sb="0" eb="2">
      <t>ゲンド</t>
    </rPh>
    <rPh sb="2" eb="3">
      <t>ガク</t>
    </rPh>
    <rPh sb="4" eb="6">
      <t>ケイサン</t>
    </rPh>
    <rPh sb="7" eb="9">
      <t>ハスウ</t>
    </rPh>
    <rPh sb="10" eb="12">
      <t>スウシキ</t>
    </rPh>
    <rPh sb="13" eb="15">
      <t>シュウセイ</t>
    </rPh>
    <rPh sb="17" eb="19">
      <t>キュウヨ</t>
    </rPh>
    <rPh sb="19" eb="21">
      <t>シュウニュウ</t>
    </rPh>
    <rPh sb="25" eb="27">
      <t>マンエン</t>
    </rPh>
    <rPh sb="28" eb="29">
      <t>トキ</t>
    </rPh>
    <rPh sb="30" eb="32">
      <t>ケイサン</t>
    </rPh>
    <rPh sb="33" eb="34">
      <t>ヘン</t>
    </rPh>
    <phoneticPr fontId="1"/>
  </si>
  <si>
    <t>ＡＮ210セル：=SUM(AB210:AM210)→=ROUNDDOWN(SUM(AB210:AM210),0)</t>
  </si>
  <si>
    <t>ＡＮ221セル：=SUM(AB221:AM221)→=ROUNDDOWN(SUM(AB221:AM221),0)</t>
  </si>
  <si>
    <t>ＡＮ232セル：=SUM(AB232:AM232)→=ROUNDDOWN(SUM(AB232:AM232),0)</t>
  </si>
  <si>
    <t>世帯員　1人目</t>
    <rPh sb="0" eb="3">
      <t>セタイイン</t>
    </rPh>
    <rPh sb="4" eb="6">
      <t>ヒトリ</t>
    </rPh>
    <rPh sb="6" eb="7">
      <t>メ</t>
    </rPh>
    <phoneticPr fontId="1"/>
  </si>
  <si>
    <t>世帯員　2人目</t>
    <rPh sb="4" eb="6">
      <t>ヒトリ</t>
    </rPh>
    <rPh sb="6" eb="7">
      <t>メ</t>
    </rPh>
    <phoneticPr fontId="1"/>
  </si>
  <si>
    <t>世帯員　3人目</t>
    <rPh sb="4" eb="6">
      <t>ヒトリ</t>
    </rPh>
    <rPh sb="6" eb="7">
      <t>メ</t>
    </rPh>
    <phoneticPr fontId="1"/>
  </si>
  <si>
    <t>世帯員　4人目</t>
    <rPh sb="4" eb="6">
      <t>ヒトリ</t>
    </rPh>
    <rPh sb="6" eb="7">
      <t>メ</t>
    </rPh>
    <phoneticPr fontId="1"/>
  </si>
  <si>
    <t>世帯員　5人目</t>
    <rPh sb="4" eb="6">
      <t>ヒトリ</t>
    </rPh>
    <rPh sb="6" eb="7">
      <t>メ</t>
    </rPh>
    <phoneticPr fontId="1"/>
  </si>
  <si>
    <t>世帯員　6人目</t>
    <rPh sb="4" eb="6">
      <t>ヒトリ</t>
    </rPh>
    <rPh sb="6" eb="7">
      <t>メ</t>
    </rPh>
    <phoneticPr fontId="1"/>
  </si>
  <si>
    <t>世帯員　7人目</t>
    <rPh sb="4" eb="6">
      <t>ヒトリ</t>
    </rPh>
    <rPh sb="6" eb="7">
      <t>メ</t>
    </rPh>
    <phoneticPr fontId="1"/>
  </si>
  <si>
    <r>
      <t>世帯員（世帯員は</t>
    </r>
    <r>
      <rPr>
        <b/>
        <sz val="10"/>
        <color theme="1"/>
        <rFont val="ＭＳ Ｐゴシック"/>
        <family val="3"/>
        <charset val="128"/>
        <scheme val="minor"/>
      </rPr>
      <t>国民健康保険加入者のみ</t>
    </r>
    <r>
      <rPr>
        <sz val="10"/>
        <color theme="1"/>
        <rFont val="ＭＳ Ｐゴシック"/>
        <family val="3"/>
        <charset val="128"/>
        <scheme val="minor"/>
      </rPr>
      <t>入力してください）</t>
    </r>
    <rPh sb="0" eb="3">
      <t>セタイイン</t>
    </rPh>
    <rPh sb="4" eb="7">
      <t>セタイイン</t>
    </rPh>
    <rPh sb="8" eb="10">
      <t>コクミン</t>
    </rPh>
    <rPh sb="10" eb="12">
      <t>ケンコウ</t>
    </rPh>
    <rPh sb="12" eb="14">
      <t>ホケン</t>
    </rPh>
    <rPh sb="14" eb="16">
      <t>カニュウ</t>
    </rPh>
    <rPh sb="16" eb="17">
      <t>シャ</t>
    </rPh>
    <rPh sb="19" eb="21">
      <t>ニュウリョク</t>
    </rPh>
    <phoneticPr fontId="1"/>
  </si>
  <si>
    <t>令和８年度　茅ヶ崎市　国民健康保険料　簡易試算シート</t>
    <phoneticPr fontId="1"/>
  </si>
  <si>
    <t>令和７年１月～１２月の収入及び所得</t>
    <rPh sb="0" eb="2">
      <t>レイワ</t>
    </rPh>
    <rPh sb="3" eb="4">
      <t>ネン</t>
    </rPh>
    <rPh sb="5" eb="6">
      <t>ガツ</t>
    </rPh>
    <rPh sb="9" eb="10">
      <t>ガツ</t>
    </rPh>
    <rPh sb="11" eb="13">
      <t>シュウニュウ</t>
    </rPh>
    <rPh sb="13" eb="14">
      <t>オヨ</t>
    </rPh>
    <rPh sb="15" eb="17">
      <t>ショトク</t>
    </rPh>
    <phoneticPr fontId="1"/>
  </si>
  <si>
    <t>子ども支援分</t>
    <rPh sb="0" eb="1">
      <t>コ</t>
    </rPh>
    <rPh sb="3" eb="5">
      <t>シエン</t>
    </rPh>
    <rPh sb="5" eb="6">
      <t>ブン</t>
    </rPh>
    <phoneticPr fontId="1"/>
  </si>
  <si>
    <t>令和８年度</t>
    <rPh sb="0" eb="1">
      <t>レイ</t>
    </rPh>
    <rPh sb="1" eb="2">
      <t>ワ</t>
    </rPh>
    <rPh sb="3" eb="5">
      <t>ネンド</t>
    </rPh>
    <phoneticPr fontId="1"/>
  </si>
  <si>
    <t>←令和８年４月～令和９年３月の１２か月分の保険料</t>
    <rPh sb="1" eb="3">
      <t>レイワ</t>
    </rPh>
    <rPh sb="2" eb="3">
      <t>ネンレイ</t>
    </rPh>
    <rPh sb="4" eb="5">
      <t>ネン</t>
    </rPh>
    <rPh sb="6" eb="7">
      <t>ガツ</t>
    </rPh>
    <rPh sb="8" eb="10">
      <t>レイワ</t>
    </rPh>
    <rPh sb="11" eb="12">
      <t>ネン</t>
    </rPh>
    <rPh sb="13" eb="14">
      <t>ガツ</t>
    </rPh>
    <rPh sb="18" eb="20">
      <t>ゲツブン</t>
    </rPh>
    <rPh sb="21" eb="24">
      <t>ホケンリョウ</t>
    </rPh>
    <phoneticPr fontId="1"/>
  </si>
  <si>
    <t>令和8年度版に修正。税制改正（給与所得控除）、子ども支援分対応。</t>
    <rPh sb="0" eb="2">
      <t>レイワ</t>
    </rPh>
    <rPh sb="3" eb="5">
      <t>ネンド</t>
    </rPh>
    <rPh sb="5" eb="6">
      <t>バン</t>
    </rPh>
    <rPh sb="7" eb="9">
      <t>シュウセイ</t>
    </rPh>
    <rPh sb="10" eb="12">
      <t>ゼイセイ</t>
    </rPh>
    <rPh sb="12" eb="14">
      <t>カイセイ</t>
    </rPh>
    <rPh sb="15" eb="17">
      <t>キュウヨ</t>
    </rPh>
    <rPh sb="17" eb="19">
      <t>ショトク</t>
    </rPh>
    <rPh sb="19" eb="21">
      <t>コウジョ</t>
    </rPh>
    <rPh sb="23" eb="24">
      <t>コ</t>
    </rPh>
    <rPh sb="26" eb="28">
      <t>シエン</t>
    </rPh>
    <rPh sb="28" eb="29">
      <t>ブン</t>
    </rPh>
    <rPh sb="29" eb="31">
      <t>タイオウ</t>
    </rPh>
    <phoneticPr fontId="1"/>
  </si>
  <si>
    <t>※</t>
    <phoneticPr fontId="1"/>
  </si>
  <si>
    <t>介護納付金分
（40歳以上65歳未満）</t>
    <rPh sb="0" eb="2">
      <t>カイゴ</t>
    </rPh>
    <rPh sb="2" eb="5">
      <t>ノウフキン</t>
    </rPh>
    <rPh sb="5" eb="6">
      <t>ブン</t>
    </rPh>
    <rPh sb="10" eb="11">
      <t>サイ</t>
    </rPh>
    <rPh sb="11" eb="13">
      <t>イジョウ</t>
    </rPh>
    <rPh sb="15" eb="16">
      <t>サイ</t>
    </rPh>
    <rPh sb="16" eb="18">
      <t>ミマン</t>
    </rPh>
    <phoneticPr fontId="1"/>
  </si>
  <si>
    <t>なので、子ども支援分の均等割額について18歳未満についてはかかりません、と書かず、計算結果として０円と記載。</t>
    <rPh sb="4" eb="5">
      <t>コ</t>
    </rPh>
    <rPh sb="7" eb="9">
      <t>シエン</t>
    </rPh>
    <rPh sb="9" eb="10">
      <t>ブン</t>
    </rPh>
    <rPh sb="11" eb="14">
      <t>キントウワ</t>
    </rPh>
    <rPh sb="14" eb="15">
      <t>ガク</t>
    </rPh>
    <rPh sb="21" eb="22">
      <t>サイ</t>
    </rPh>
    <rPh sb="22" eb="24">
      <t>ミマン</t>
    </rPh>
    <rPh sb="37" eb="38">
      <t>カ</t>
    </rPh>
    <rPh sb="41" eb="43">
      <t>ケイサン</t>
    </rPh>
    <rPh sb="43" eb="45">
      <t>ケッカ</t>
    </rPh>
    <rPh sb="49" eb="50">
      <t>エン</t>
    </rPh>
    <rPh sb="51" eb="53">
      <t>キサイ</t>
    </rPh>
    <phoneticPr fontId="1"/>
  </si>
  <si>
    <t>子ども支援分の均等割、18歳未満について国のスタンスはかからないではなく、18歳未満にも賦課してそのあと軽減して軽減した分を１８歳以上に増額</t>
    <rPh sb="0" eb="1">
      <t>コ</t>
    </rPh>
    <rPh sb="3" eb="5">
      <t>シエン</t>
    </rPh>
    <rPh sb="5" eb="6">
      <t>ブン</t>
    </rPh>
    <rPh sb="7" eb="10">
      <t>キントウワ</t>
    </rPh>
    <rPh sb="13" eb="14">
      <t>サイ</t>
    </rPh>
    <rPh sb="14" eb="16">
      <t>ミマン</t>
    </rPh>
    <rPh sb="20" eb="21">
      <t>クニ</t>
    </rPh>
    <rPh sb="39" eb="40">
      <t>サイ</t>
    </rPh>
    <rPh sb="40" eb="42">
      <t>ミマン</t>
    </rPh>
    <rPh sb="44" eb="46">
      <t>フカ</t>
    </rPh>
    <rPh sb="52" eb="54">
      <t>ケイゲン</t>
    </rPh>
    <rPh sb="56" eb="58">
      <t>ケイゲン</t>
    </rPh>
    <rPh sb="60" eb="61">
      <t>ブン</t>
    </rPh>
    <rPh sb="64" eb="65">
      <t>サイ</t>
    </rPh>
    <rPh sb="65" eb="67">
      <t>イジョウ</t>
    </rPh>
    <rPh sb="68" eb="70">
      <t>ゾウガク</t>
    </rPh>
    <phoneticPr fontId="1"/>
  </si>
  <si>
    <t>令和７年１月～１２月の収入及び所得</t>
    <phoneticPr fontId="1"/>
  </si>
  <si>
    <t>(子)限度額</t>
    <rPh sb="1" eb="2">
      <t>コ</t>
    </rPh>
    <rPh sb="3" eb="5">
      <t>ゲンド</t>
    </rPh>
    <rPh sb="5" eb="6">
      <t>ガク</t>
    </rPh>
    <phoneticPr fontId="1"/>
  </si>
  <si>
    <t>18歳未満か→</t>
    <rPh sb="2" eb="3">
      <t>サイ</t>
    </rPh>
    <rPh sb="3" eb="5">
      <t>ミマン</t>
    </rPh>
    <phoneticPr fontId="6"/>
  </si>
  <si>
    <t>子ども</t>
    <rPh sb="0" eb="1">
      <t>コ</t>
    </rPh>
    <phoneticPr fontId="1"/>
  </si>
  <si>
    <t>-</t>
    <phoneticPr fontId="1"/>
  </si>
  <si>
    <t>子ども限度超過額</t>
    <rPh sb="0" eb="1">
      <t>コ</t>
    </rPh>
    <rPh sb="3" eb="5">
      <t>ゲンド</t>
    </rPh>
    <rPh sb="5" eb="7">
      <t>チョウカ</t>
    </rPh>
    <rPh sb="7" eb="8">
      <t>ガク</t>
    </rPh>
    <phoneticPr fontId="6"/>
  </si>
  <si>
    <t>注意事項にマイナスの所得あったらうまく計算できないと書いているのでそのままでも良いが、軽減判定所得が１人目と２人目で損益通算されてしまう。</t>
    <rPh sb="43" eb="45">
      <t>ケイゲン</t>
    </rPh>
    <phoneticPr fontId="1"/>
  </si>
  <si>
    <t>軽減判定所得について、マイナスだったら、0にするというＭＡＸ関数追加。主：ＡＴ６セルと員部分）</t>
    <phoneticPr fontId="1"/>
  </si>
  <si>
    <t xml:space="preserve">※未就学児の均等割額は記載の金額（または均等割軽減後の金額）から半額。
　また子ども支援分の均等割額は18歳未満は全額軽減。表では18歳以上の増額分（６５円）を含んでいます。
</t>
    <rPh sb="39" eb="40">
      <t>コ</t>
    </rPh>
    <rPh sb="42" eb="44">
      <t>シエン</t>
    </rPh>
    <rPh sb="44" eb="45">
      <t>ブン</t>
    </rPh>
    <rPh sb="46" eb="49">
      <t>キントウワ</t>
    </rPh>
    <rPh sb="49" eb="50">
      <t>ガク</t>
    </rPh>
    <rPh sb="53" eb="54">
      <t>サイ</t>
    </rPh>
    <rPh sb="54" eb="56">
      <t>ミマン</t>
    </rPh>
    <rPh sb="57" eb="59">
      <t>ゼンガク</t>
    </rPh>
    <rPh sb="59" eb="61">
      <t>ケイゲン</t>
    </rPh>
    <rPh sb="62" eb="63">
      <t>ヒョウ</t>
    </rPh>
    <rPh sb="67" eb="68">
      <t>サイ</t>
    </rPh>
    <rPh sb="68" eb="70">
      <t>イジョウ</t>
    </rPh>
    <rPh sb="71" eb="73">
      <t>ゾウガク</t>
    </rPh>
    <rPh sb="73" eb="74">
      <t>ブン</t>
    </rPh>
    <rPh sb="77" eb="78">
      <t>エン</t>
    </rPh>
    <rPh sb="80" eb="81">
      <t>フク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</si>
</sst>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quot;円&quot;"/>
    <numFmt numFmtId="177" formatCode="#,##0_ "/>
    <numFmt numFmtId="178" formatCode="[$-411]ge\.m\.d;@"/>
    <numFmt numFmtId="179" formatCode="0.00_ "/>
    <numFmt numFmtId="180" formatCode="#,##0.0_ ;[Red]\-#,##0.0\ "/>
    <numFmt numFmtId="181" formatCode="#,##0_ ;[Red]\-#,##0\ "/>
    <numFmt numFmtId="182" formatCode="#,##0&quot;円&quot;"/>
  </numFmts>
  <fonts count="53">
    <font>
      <sz val="11"/>
      <color theme="1"/>
      <name val="ＭＳ Ｐゴシック"/>
      <family val="2"/>
      <charset val="128"/>
      <scheme val="minor"/>
    </font>
    <font>
      <sz val="6"/>
      <name val="ＭＳ Ｐゴシック"/>
      <family val="2"/>
      <charset val="128"/>
      <scheme val="minor"/>
    </font>
    <font>
      <sz val="10"/>
      <color theme="1"/>
      <name val="ＭＳ Ｐゴシック"/>
      <family val="2"/>
      <charset val="128"/>
      <scheme val="minor"/>
    </font>
    <font>
      <sz val="9"/>
      <color theme="1"/>
      <name val="ＭＳ Ｐゴシック"/>
      <family val="2"/>
      <charset val="128"/>
      <scheme val="minor"/>
    </font>
    <font>
      <sz val="8"/>
      <color theme="1"/>
      <name val="ＭＳ Ｐゴシック"/>
      <family val="2"/>
      <charset val="128"/>
      <scheme val="minor"/>
    </font>
    <font>
      <sz val="11"/>
      <color rgb="FFFF0000"/>
      <name val="ＭＳ Ｐゴシック"/>
      <family val="2"/>
      <charset val="128"/>
      <scheme val="minor"/>
    </font>
    <font>
      <sz val="6"/>
      <name val="ＭＳ Ｐゴシック"/>
      <family val="3"/>
      <charset val="128"/>
    </font>
    <font>
      <b/>
      <sz val="11"/>
      <name val="ＭＳ Ｐゴシック"/>
      <family val="3"/>
      <charset val="128"/>
    </font>
    <font>
      <sz val="10"/>
      <color rgb="FFFF0000"/>
      <name val="ＭＳ Ｐゴシック"/>
      <family val="3"/>
      <charset val="128"/>
      <scheme val="minor"/>
    </font>
    <font>
      <sz val="10"/>
      <color theme="1"/>
      <name val="ＭＳ Ｐゴシック"/>
      <family val="3"/>
      <charset val="128"/>
      <scheme val="minor"/>
    </font>
    <font>
      <b/>
      <sz val="10"/>
      <color theme="1"/>
      <name val="ＭＳ Ｐゴシック"/>
      <family val="3"/>
      <charset val="128"/>
      <scheme val="minor"/>
    </font>
    <font>
      <b/>
      <sz val="10"/>
      <color rgb="FFFF0000"/>
      <name val="ＭＳ Ｐゴシック"/>
      <family val="3"/>
      <charset val="128"/>
      <scheme val="minor"/>
    </font>
    <font>
      <sz val="11"/>
      <color theme="1"/>
      <name val="ＭＳ Ｐゴシック"/>
      <family val="2"/>
      <charset val="128"/>
      <scheme val="minor"/>
    </font>
    <font>
      <sz val="10"/>
      <name val="ＭＳ Ｐゴシック"/>
      <family val="3"/>
      <charset val="128"/>
    </font>
    <font>
      <sz val="8"/>
      <name val="ＭＳ Ｐ明朝"/>
      <family val="1"/>
      <charset val="128"/>
    </font>
    <font>
      <sz val="8"/>
      <color indexed="12"/>
      <name val="ＭＳ Ｐ明朝"/>
      <family val="1"/>
      <charset val="128"/>
    </font>
    <font>
      <sz val="9"/>
      <name val="ＭＳ Ｐゴシック"/>
      <family val="3"/>
      <charset val="128"/>
    </font>
    <font>
      <sz val="8"/>
      <name val="ＭＳ Ｐゴシック"/>
      <family val="3"/>
      <charset val="128"/>
    </font>
    <font>
      <sz val="11"/>
      <color theme="1"/>
      <name val="ＭＳ Ｐゴシック"/>
      <family val="3"/>
      <charset val="128"/>
    </font>
    <font>
      <b/>
      <sz val="9"/>
      <color indexed="81"/>
      <name val="ＭＳ Ｐゴシック"/>
      <family val="3"/>
      <charset val="128"/>
    </font>
    <font>
      <sz val="9"/>
      <color indexed="81"/>
      <name val="ＭＳ Ｐゴシック"/>
      <family val="3"/>
      <charset val="128"/>
    </font>
    <font>
      <sz val="11"/>
      <name val="ＭＳ Ｐゴシック"/>
      <family val="2"/>
      <charset val="128"/>
      <scheme val="minor"/>
    </font>
    <font>
      <sz val="11"/>
      <color rgb="FF0070C0"/>
      <name val="ＭＳ Ｐゴシック"/>
      <family val="2"/>
      <charset val="128"/>
      <scheme val="minor"/>
    </font>
    <font>
      <sz val="9"/>
      <color rgb="FF0070C0"/>
      <name val="ＭＳ Ｐゴシック"/>
      <family val="2"/>
      <charset val="128"/>
      <scheme val="minor"/>
    </font>
    <font>
      <sz val="11"/>
      <color rgb="FF0070C0"/>
      <name val="ＭＳ Ｐゴシック"/>
      <family val="3"/>
      <charset val="128"/>
    </font>
    <font>
      <sz val="9"/>
      <color indexed="81"/>
      <name val="MS P ゴシック"/>
      <family val="3"/>
      <charset val="128"/>
    </font>
    <font>
      <b/>
      <sz val="9"/>
      <color indexed="81"/>
      <name val="MS P ゴシック"/>
      <family val="3"/>
      <charset val="128"/>
    </font>
    <font>
      <b/>
      <sz val="11"/>
      <color rgb="FFFF0000"/>
      <name val="ＭＳ Ｐゴシック"/>
      <family val="3"/>
      <charset val="128"/>
      <scheme val="minor"/>
    </font>
    <font>
      <sz val="11"/>
      <color theme="8"/>
      <name val="ＭＳ Ｐゴシック"/>
      <family val="2"/>
      <charset val="128"/>
      <scheme val="minor"/>
    </font>
    <font>
      <sz val="11"/>
      <color theme="8"/>
      <name val="ＭＳ Ｐゴシック"/>
      <family val="3"/>
      <charset val="128"/>
      <scheme val="minor"/>
    </font>
    <font>
      <sz val="11"/>
      <color theme="4"/>
      <name val="ＭＳ Ｐゴシック"/>
      <family val="2"/>
      <charset val="128"/>
      <scheme val="minor"/>
    </font>
    <font>
      <sz val="11"/>
      <color theme="4"/>
      <name val="ＭＳ Ｐゴシック"/>
      <family val="3"/>
      <charset val="128"/>
    </font>
    <font>
      <sz val="11"/>
      <color theme="4"/>
      <name val="ＭＳ Ｐゴシック"/>
      <family val="3"/>
      <charset val="128"/>
      <scheme val="minor"/>
    </font>
    <font>
      <sz val="9"/>
      <name val="ＭＳ Ｐゴシック"/>
      <family val="3"/>
      <charset val="128"/>
      <scheme val="minor"/>
    </font>
    <font>
      <sz val="8"/>
      <color theme="1"/>
      <name val="ＭＳ Ｐゴシック"/>
      <family val="3"/>
      <charset val="128"/>
      <scheme val="minor"/>
    </font>
    <font>
      <sz val="9"/>
      <name val="ＭＳ Ｐゴシック"/>
      <family val="2"/>
      <charset val="128"/>
      <scheme val="minor"/>
    </font>
    <font>
      <sz val="11"/>
      <name val="ＭＳ Ｐゴシック"/>
      <family val="3"/>
      <charset val="128"/>
      <scheme val="minor"/>
    </font>
    <font>
      <sz val="11"/>
      <color theme="8"/>
      <name val="ＭＳ Ｐゴシック"/>
      <family val="3"/>
      <charset val="128"/>
    </font>
    <font>
      <b/>
      <sz val="12"/>
      <color theme="1"/>
      <name val="ＭＳ Ｐゴシック"/>
      <family val="3"/>
      <charset val="128"/>
      <scheme val="minor"/>
    </font>
    <font>
      <sz val="10"/>
      <color theme="8"/>
      <name val="ＭＳ Ｐゴシック"/>
      <family val="2"/>
      <charset val="128"/>
      <scheme val="minor"/>
    </font>
    <font>
      <sz val="10"/>
      <color theme="8"/>
      <name val="ＭＳ Ｐゴシック"/>
      <family val="3"/>
      <charset val="128"/>
      <scheme val="minor"/>
    </font>
    <font>
      <sz val="10"/>
      <name val="ＭＳ Ｐゴシック"/>
      <family val="3"/>
      <charset val="128"/>
      <scheme val="minor"/>
    </font>
    <font>
      <sz val="10"/>
      <color theme="5" tint="-0.249977111117893"/>
      <name val="ＭＳ Ｐゴシック"/>
      <family val="2"/>
      <charset val="128"/>
      <scheme val="minor"/>
    </font>
    <font>
      <sz val="10"/>
      <color theme="5" tint="0.39997558519241921"/>
      <name val="ＭＳ Ｐゴシック"/>
      <family val="2"/>
      <charset val="128"/>
      <scheme val="minor"/>
    </font>
    <font>
      <sz val="10"/>
      <color rgb="FF0070C0"/>
      <name val="ＭＳ Ｐゴシック"/>
      <family val="2"/>
      <charset val="128"/>
      <scheme val="minor"/>
    </font>
    <font>
      <sz val="10"/>
      <color theme="5" tint="-0.249977111117893"/>
      <name val="ＭＳ Ｐゴシック"/>
      <family val="3"/>
      <charset val="128"/>
      <scheme val="minor"/>
    </font>
    <font>
      <sz val="9"/>
      <color theme="1"/>
      <name val="ＭＳ Ｐゴシック"/>
      <family val="3"/>
      <charset val="128"/>
      <scheme val="minor"/>
    </font>
    <font>
      <b/>
      <sz val="11"/>
      <color theme="1"/>
      <name val="ＭＳ Ｐゴシック"/>
      <family val="3"/>
      <charset val="128"/>
      <scheme val="minor"/>
    </font>
    <font>
      <sz val="14"/>
      <color theme="1"/>
      <name val="ＭＳ Ｐゴシック"/>
      <family val="2"/>
      <charset val="128"/>
      <scheme val="minor"/>
    </font>
    <font>
      <sz val="10"/>
      <name val="ＭＳ Ｐゴシック"/>
      <family val="2"/>
      <charset val="128"/>
      <scheme val="minor"/>
    </font>
    <font>
      <sz val="8"/>
      <color rgb="FFFF0000"/>
      <name val="ＭＳ Ｐゴシック"/>
      <family val="3"/>
      <charset val="128"/>
    </font>
    <font>
      <sz val="11"/>
      <color rgb="FFFF0000"/>
      <name val="ＭＳ Ｐゴシック"/>
      <family val="3"/>
      <charset val="128"/>
    </font>
    <font>
      <sz val="11"/>
      <color rgb="FFFF0000"/>
      <name val="ＭＳ Ｐゴシック"/>
      <family val="3"/>
      <charset val="128"/>
      <scheme val="minor"/>
    </font>
  </fonts>
  <fills count="10">
    <fill>
      <patternFill patternType="none"/>
    </fill>
    <fill>
      <patternFill patternType="gray125"/>
    </fill>
    <fill>
      <patternFill patternType="solid">
        <fgColor theme="7" tint="0.39997558519241921"/>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rgb="FFFFC000"/>
        <bgColor indexed="64"/>
      </patternFill>
    </fill>
    <fill>
      <patternFill patternType="solid">
        <fgColor rgb="FFFFFF00"/>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theme="2"/>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s>
  <cellStyleXfs count="2">
    <xf numFmtId="0" fontId="0" fillId="0" borderId="0">
      <alignment vertical="center"/>
    </xf>
    <xf numFmtId="38" fontId="12" fillId="0" borderId="0" applyFont="0" applyFill="0" applyBorder="0" applyAlignment="0" applyProtection="0">
      <alignment vertical="center"/>
    </xf>
  </cellStyleXfs>
  <cellXfs count="227">
    <xf numFmtId="0" fontId="0" fillId="0" borderId="0" xfId="0">
      <alignment vertical="center"/>
    </xf>
    <xf numFmtId="0" fontId="0" fillId="0" borderId="0" xfId="0" applyAlignment="1">
      <alignment vertical="top"/>
    </xf>
    <xf numFmtId="0" fontId="0" fillId="0" borderId="1" xfId="0" applyBorder="1">
      <alignment vertical="center"/>
    </xf>
    <xf numFmtId="0" fontId="3" fillId="0" borderId="1" xfId="0" applyFont="1" applyBorder="1">
      <alignment vertical="center"/>
    </xf>
    <xf numFmtId="0" fontId="2" fillId="0" borderId="1" xfId="0" applyFont="1" applyBorder="1">
      <alignment vertical="center"/>
    </xf>
    <xf numFmtId="0" fontId="0" fillId="0" borderId="1" xfId="0" applyBorder="1" applyAlignment="1">
      <alignment horizontal="center" vertical="center"/>
    </xf>
    <xf numFmtId="0" fontId="4" fillId="0" borderId="1" xfId="0" applyFont="1" applyBorder="1" applyAlignment="1">
      <alignment vertical="center" wrapText="1"/>
    </xf>
    <xf numFmtId="0" fontId="0" fillId="0" borderId="0" xfId="0" applyAlignment="1"/>
    <xf numFmtId="0" fontId="2" fillId="0" borderId="0" xfId="0" applyFont="1" applyFill="1" applyAlignment="1">
      <alignment vertical="center"/>
    </xf>
    <xf numFmtId="177" fontId="2" fillId="0" borderId="0" xfId="0" applyNumberFormat="1" applyFont="1" applyFill="1" applyBorder="1" applyAlignment="1">
      <alignment vertical="center"/>
    </xf>
    <xf numFmtId="0" fontId="2" fillId="0" borderId="0" xfId="0" applyFont="1" applyAlignment="1">
      <alignment vertical="center"/>
    </xf>
    <xf numFmtId="177" fontId="8" fillId="0" borderId="4" xfId="0" applyNumberFormat="1" applyFont="1" applyBorder="1" applyAlignment="1">
      <alignment vertical="center"/>
    </xf>
    <xf numFmtId="0" fontId="8" fillId="0" borderId="4" xfId="0" applyFont="1" applyBorder="1" applyAlignment="1">
      <alignment horizontal="center" vertical="center"/>
    </xf>
    <xf numFmtId="177" fontId="8" fillId="0" borderId="3" xfId="0" applyNumberFormat="1" applyFont="1" applyBorder="1" applyAlignment="1">
      <alignment vertical="center"/>
    </xf>
    <xf numFmtId="0" fontId="5" fillId="0" borderId="0" xfId="0" applyFont="1" applyAlignment="1"/>
    <xf numFmtId="57" fontId="0" fillId="5" borderId="0" xfId="0" applyNumberFormat="1" applyFill="1" applyAlignment="1"/>
    <xf numFmtId="0" fontId="7" fillId="0" borderId="1" xfId="0" applyFont="1" applyBorder="1" applyAlignment="1">
      <alignment vertical="center" textRotation="255"/>
    </xf>
    <xf numFmtId="0" fontId="2" fillId="0" borderId="0" xfId="0" applyNumberFormat="1" applyFont="1" applyFill="1" applyAlignment="1">
      <alignment vertical="center"/>
    </xf>
    <xf numFmtId="0" fontId="0" fillId="0" borderId="0" xfId="0" applyNumberFormat="1">
      <alignment vertical="center"/>
    </xf>
    <xf numFmtId="14" fontId="0" fillId="0" borderId="0" xfId="0" applyNumberFormat="1" applyAlignment="1"/>
    <xf numFmtId="0" fontId="0" fillId="0" borderId="1" xfId="0" applyBorder="1" applyAlignment="1"/>
    <xf numFmtId="0" fontId="0" fillId="0" borderId="1" xfId="0" applyFont="1" applyBorder="1" applyAlignment="1"/>
    <xf numFmtId="0" fontId="0" fillId="0" borderId="5" xfId="0" applyBorder="1" applyAlignment="1"/>
    <xf numFmtId="0" fontId="13" fillId="0" borderId="1" xfId="0" applyFont="1" applyBorder="1" applyAlignment="1"/>
    <xf numFmtId="0" fontId="0" fillId="0" borderId="1" xfId="0" applyBorder="1" applyAlignment="1">
      <alignment shrinkToFit="1"/>
    </xf>
    <xf numFmtId="0" fontId="0" fillId="0" borderId="0" xfId="0" applyFont="1" applyAlignment="1"/>
    <xf numFmtId="0" fontId="16" fillId="0" borderId="1" xfId="0" applyFont="1" applyBorder="1" applyAlignment="1">
      <alignment horizontal="left" vertical="top" wrapText="1"/>
    </xf>
    <xf numFmtId="0" fontId="17" fillId="0" borderId="1" xfId="0" applyFont="1" applyBorder="1" applyAlignment="1">
      <alignment vertical="top" wrapText="1"/>
    </xf>
    <xf numFmtId="0" fontId="3" fillId="0" borderId="0" xfId="0" applyFont="1">
      <alignment vertical="center"/>
    </xf>
    <xf numFmtId="14" fontId="23" fillId="0" borderId="0" xfId="0" applyNumberFormat="1" applyFont="1" applyAlignment="1"/>
    <xf numFmtId="57" fontId="23" fillId="0" borderId="0" xfId="0" applyNumberFormat="1" applyFont="1" applyAlignment="1"/>
    <xf numFmtId="0" fontId="27" fillId="0" borderId="0" xfId="0" applyFont="1" applyAlignment="1">
      <alignment vertical="center"/>
    </xf>
    <xf numFmtId="0" fontId="0" fillId="7" borderId="1" xfId="0" applyFill="1" applyBorder="1" applyAlignment="1">
      <alignment shrinkToFit="1"/>
    </xf>
    <xf numFmtId="3" fontId="0" fillId="7" borderId="1" xfId="0" applyNumberFormat="1" applyFill="1" applyBorder="1" applyAlignment="1"/>
    <xf numFmtId="38" fontId="28" fillId="0" borderId="1" xfId="1" applyFont="1" applyBorder="1" applyAlignment="1"/>
    <xf numFmtId="38" fontId="29" fillId="7" borderId="1" xfId="1" applyFont="1" applyFill="1" applyBorder="1" applyAlignment="1"/>
    <xf numFmtId="0" fontId="13" fillId="7" borderId="1" xfId="0" applyFont="1" applyFill="1" applyBorder="1" applyAlignment="1"/>
    <xf numFmtId="3" fontId="28" fillId="6" borderId="1" xfId="0" applyNumberFormat="1" applyFont="1" applyFill="1" applyBorder="1" applyAlignment="1"/>
    <xf numFmtId="177" fontId="28" fillId="6" borderId="1" xfId="0" applyNumberFormat="1" applyFont="1" applyFill="1" applyBorder="1" applyAlignment="1"/>
    <xf numFmtId="177" fontId="28" fillId="6" borderId="2" xfId="0" applyNumberFormat="1" applyFont="1" applyFill="1" applyBorder="1" applyAlignment="1"/>
    <xf numFmtId="38" fontId="18" fillId="7" borderId="1" xfId="1" applyFont="1" applyFill="1" applyBorder="1" applyAlignment="1"/>
    <xf numFmtId="38" fontId="30" fillId="0" borderId="1" xfId="1" applyFont="1" applyBorder="1" applyAlignment="1"/>
    <xf numFmtId="3" fontId="30" fillId="0" borderId="1" xfId="0" applyNumberFormat="1" applyFont="1" applyBorder="1" applyAlignment="1"/>
    <xf numFmtId="0" fontId="30" fillId="0" borderId="1" xfId="0" applyFont="1" applyBorder="1" applyAlignment="1"/>
    <xf numFmtId="0" fontId="0" fillId="0" borderId="5" xfId="0" applyBorder="1">
      <alignment vertical="center"/>
    </xf>
    <xf numFmtId="0" fontId="0" fillId="0" borderId="6" xfId="0" applyBorder="1" applyAlignment="1"/>
    <xf numFmtId="0" fontId="0" fillId="0" borderId="7" xfId="0" applyBorder="1" applyAlignment="1">
      <alignment shrinkToFit="1"/>
    </xf>
    <xf numFmtId="0" fontId="0" fillId="0" borderId="7" xfId="0" applyBorder="1" applyAlignment="1"/>
    <xf numFmtId="0" fontId="0" fillId="0" borderId="8" xfId="0" applyBorder="1" applyAlignment="1">
      <alignment horizontal="center" shrinkToFit="1"/>
    </xf>
    <xf numFmtId="0" fontId="0" fillId="0" borderId="7" xfId="0" applyBorder="1" applyAlignment="1">
      <alignment horizontal="center"/>
    </xf>
    <xf numFmtId="0" fontId="0" fillId="0" borderId="10" xfId="0" applyBorder="1" applyAlignment="1"/>
    <xf numFmtId="57" fontId="22" fillId="0" borderId="0" xfId="0" applyNumberFormat="1" applyFont="1" applyBorder="1" applyAlignment="1"/>
    <xf numFmtId="178" fontId="22" fillId="0" borderId="0" xfId="0" applyNumberFormat="1" applyFont="1" applyBorder="1" applyAlignment="1"/>
    <xf numFmtId="0" fontId="28" fillId="0" borderId="0" xfId="0" applyFont="1" applyBorder="1" applyAlignment="1"/>
    <xf numFmtId="0" fontId="21" fillId="0" borderId="0" xfId="0" applyFont="1" applyBorder="1" applyAlignment="1"/>
    <xf numFmtId="0" fontId="22" fillId="0" borderId="0" xfId="0" applyFont="1" applyBorder="1" applyAlignment="1"/>
    <xf numFmtId="0" fontId="0" fillId="0" borderId="0" xfId="0" applyBorder="1" applyAlignment="1"/>
    <xf numFmtId="0" fontId="0" fillId="0" borderId="0" xfId="0" applyBorder="1" applyAlignment="1">
      <alignment horizontal="center"/>
    </xf>
    <xf numFmtId="0" fontId="0" fillId="0" borderId="10" xfId="0" applyBorder="1" applyAlignment="1">
      <alignment shrinkToFit="1"/>
    </xf>
    <xf numFmtId="0" fontId="0" fillId="7" borderId="0" xfId="0" applyFill="1" applyBorder="1" applyAlignment="1">
      <alignment shrinkToFit="1"/>
    </xf>
    <xf numFmtId="0" fontId="28" fillId="7" borderId="0" xfId="0" applyFont="1" applyFill="1" applyBorder="1" applyAlignment="1"/>
    <xf numFmtId="0" fontId="0" fillId="7" borderId="0" xfId="0" applyNumberFormat="1" applyFill="1" applyBorder="1" applyAlignment="1">
      <alignment shrinkToFit="1"/>
    </xf>
    <xf numFmtId="0" fontId="0" fillId="0" borderId="11" xfId="0" applyBorder="1" applyAlignment="1"/>
    <xf numFmtId="0" fontId="0" fillId="7" borderId="10" xfId="0" applyFill="1" applyBorder="1" applyAlignment="1">
      <alignment shrinkToFit="1"/>
    </xf>
    <xf numFmtId="0" fontId="16" fillId="0" borderId="0" xfId="0" applyFont="1" applyFill="1" applyBorder="1" applyAlignment="1">
      <alignment wrapText="1"/>
    </xf>
    <xf numFmtId="0" fontId="28" fillId="0" borderId="0" xfId="0" applyFont="1" applyFill="1" applyBorder="1" applyAlignment="1"/>
    <xf numFmtId="57" fontId="24" fillId="0" borderId="0" xfId="0" applyNumberFormat="1" applyFont="1" applyBorder="1" applyAlignment="1"/>
    <xf numFmtId="0" fontId="30" fillId="0" borderId="0" xfId="0" applyFont="1" applyBorder="1" applyAlignment="1"/>
    <xf numFmtId="0" fontId="0" fillId="0" borderId="12" xfId="0" applyBorder="1" applyAlignment="1"/>
    <xf numFmtId="0" fontId="0" fillId="0" borderId="13" xfId="0" applyBorder="1" applyAlignment="1"/>
    <xf numFmtId="179" fontId="0" fillId="7" borderId="0" xfId="0" applyNumberFormat="1" applyFill="1" applyBorder="1" applyAlignment="1"/>
    <xf numFmtId="0" fontId="0" fillId="7" borderId="1" xfId="0" applyFill="1" applyBorder="1" applyAlignment="1"/>
    <xf numFmtId="0" fontId="0" fillId="7" borderId="5" xfId="0" applyFill="1" applyBorder="1" applyAlignment="1"/>
    <xf numFmtId="0" fontId="0" fillId="7" borderId="0" xfId="0" applyFill="1" applyAlignment="1"/>
    <xf numFmtId="0" fontId="0" fillId="2" borderId="0" xfId="0" applyFill="1" applyAlignment="1"/>
    <xf numFmtId="40" fontId="30" fillId="0" borderId="0" xfId="1" applyNumberFormat="1" applyFont="1" applyBorder="1" applyAlignment="1"/>
    <xf numFmtId="0" fontId="31" fillId="0" borderId="0" xfId="0" applyFont="1" applyBorder="1" applyAlignment="1"/>
    <xf numFmtId="0" fontId="17" fillId="0" borderId="0" xfId="0" applyFont="1" applyBorder="1" applyAlignment="1">
      <alignment wrapText="1"/>
    </xf>
    <xf numFmtId="0" fontId="24" fillId="0" borderId="0" xfId="0" applyFont="1" applyBorder="1" applyAlignment="1"/>
    <xf numFmtId="0" fontId="16" fillId="0" borderId="0" xfId="0" applyFont="1" applyBorder="1" applyAlignment="1">
      <alignment vertical="top" wrapText="1"/>
    </xf>
    <xf numFmtId="0" fontId="28" fillId="0" borderId="1" xfId="0" applyFont="1" applyBorder="1" applyAlignment="1"/>
    <xf numFmtId="0" fontId="0" fillId="5" borderId="0" xfId="0" applyFill="1">
      <alignment vertical="center"/>
    </xf>
    <xf numFmtId="0" fontId="0" fillId="5" borderId="1" xfId="0" applyFill="1" applyBorder="1" applyAlignment="1"/>
    <xf numFmtId="0" fontId="27" fillId="0" borderId="1" xfId="0" applyFont="1" applyBorder="1">
      <alignment vertical="center"/>
    </xf>
    <xf numFmtId="0" fontId="10" fillId="0" borderId="1" xfId="0" applyFont="1" applyBorder="1">
      <alignment vertical="center"/>
    </xf>
    <xf numFmtId="0" fontId="22" fillId="0" borderId="1" xfId="0" applyFont="1" applyBorder="1" applyAlignment="1"/>
    <xf numFmtId="0" fontId="0" fillId="7" borderId="1" xfId="0" applyFont="1" applyFill="1" applyBorder="1" applyAlignment="1"/>
    <xf numFmtId="0" fontId="28" fillId="0" borderId="0" xfId="0" applyFont="1" applyAlignment="1"/>
    <xf numFmtId="0" fontId="28" fillId="0" borderId="2" xfId="0" applyFont="1" applyBorder="1" applyAlignment="1"/>
    <xf numFmtId="0" fontId="2" fillId="0" borderId="1" xfId="0" applyFont="1" applyBorder="1" applyAlignment="1"/>
    <xf numFmtId="0" fontId="0" fillId="0" borderId="0" xfId="0" applyFill="1" applyBorder="1">
      <alignment vertical="center"/>
    </xf>
    <xf numFmtId="0" fontId="0" fillId="0" borderId="1" xfId="0" applyFill="1" applyBorder="1">
      <alignment vertical="center"/>
    </xf>
    <xf numFmtId="0" fontId="35" fillId="0" borderId="6" xfId="0" applyFont="1" applyBorder="1" applyAlignment="1"/>
    <xf numFmtId="0" fontId="33" fillId="0" borderId="10" xfId="0" applyFont="1" applyBorder="1" applyAlignment="1"/>
    <xf numFmtId="0" fontId="33" fillId="0" borderId="10" xfId="0" applyFont="1" applyBorder="1" applyAlignment="1">
      <alignment shrinkToFit="1"/>
    </xf>
    <xf numFmtId="0" fontId="36" fillId="0" borderId="0" xfId="0" applyFont="1" applyBorder="1" applyAlignment="1"/>
    <xf numFmtId="0" fontId="16" fillId="0" borderId="10" xfId="0" applyFont="1" applyBorder="1" applyAlignment="1"/>
    <xf numFmtId="0" fontId="33" fillId="0" borderId="12" xfId="0" applyFont="1" applyBorder="1" applyAlignment="1"/>
    <xf numFmtId="0" fontId="36" fillId="0" borderId="13" xfId="0" applyFont="1" applyBorder="1" applyAlignment="1"/>
    <xf numFmtId="0" fontId="29" fillId="0" borderId="7" xfId="0" applyFont="1" applyBorder="1" applyAlignment="1"/>
    <xf numFmtId="180" fontId="29" fillId="0" borderId="0" xfId="0" applyNumberFormat="1" applyFont="1" applyBorder="1" applyAlignment="1"/>
    <xf numFmtId="57" fontId="0" fillId="0" borderId="0" xfId="0" applyNumberFormat="1" applyBorder="1" applyAlignment="1"/>
    <xf numFmtId="40" fontId="37" fillId="0" borderId="0" xfId="0" applyNumberFormat="1" applyFont="1" applyBorder="1" applyAlignment="1"/>
    <xf numFmtId="0" fontId="0" fillId="0" borderId="17" xfId="0" applyBorder="1">
      <alignment vertical="center"/>
    </xf>
    <xf numFmtId="0" fontId="0" fillId="0" borderId="21" xfId="0" applyBorder="1">
      <alignment vertical="center"/>
    </xf>
    <xf numFmtId="0" fontId="0" fillId="0" borderId="24" xfId="0" applyBorder="1" applyAlignment="1">
      <alignment vertical="center" wrapText="1"/>
    </xf>
    <xf numFmtId="0" fontId="38" fillId="0" borderId="0" xfId="0" applyFont="1">
      <alignment vertical="center"/>
    </xf>
    <xf numFmtId="0" fontId="2" fillId="0" borderId="19" xfId="0" applyFont="1" applyBorder="1" applyAlignment="1">
      <alignment vertical="center" wrapText="1"/>
    </xf>
    <xf numFmtId="0" fontId="29" fillId="0" borderId="0" xfId="0" applyFont="1" applyBorder="1" applyAlignment="1"/>
    <xf numFmtId="0" fontId="37" fillId="0" borderId="0" xfId="0" applyFont="1" applyBorder="1" applyAlignment="1"/>
    <xf numFmtId="40" fontId="29" fillId="0" borderId="0" xfId="0" applyNumberFormat="1" applyFont="1" applyBorder="1" applyAlignment="1"/>
    <xf numFmtId="181" fontId="29" fillId="0" borderId="13" xfId="0" applyNumberFormat="1" applyFont="1" applyFill="1" applyBorder="1" applyAlignment="1"/>
    <xf numFmtId="38" fontId="0" fillId="0" borderId="0" xfId="0" applyNumberFormat="1" applyBorder="1" applyAlignment="1"/>
    <xf numFmtId="0" fontId="0" fillId="0" borderId="0" xfId="0" applyAlignment="1">
      <alignment horizontal="right"/>
    </xf>
    <xf numFmtId="0" fontId="39" fillId="0" borderId="0" xfId="0" applyFont="1" applyAlignment="1"/>
    <xf numFmtId="0" fontId="2" fillId="0" borderId="0" xfId="0" applyFont="1" applyAlignment="1"/>
    <xf numFmtId="0" fontId="39" fillId="0" borderId="0" xfId="0" applyFont="1" applyAlignment="1">
      <alignment shrinkToFit="1"/>
    </xf>
    <xf numFmtId="0" fontId="40" fillId="0" borderId="0" xfId="0" applyFont="1" applyAlignment="1">
      <alignment shrinkToFit="1"/>
    </xf>
    <xf numFmtId="0" fontId="0" fillId="0" borderId="0" xfId="0" applyBorder="1" applyAlignment="1">
      <alignment wrapText="1"/>
    </xf>
    <xf numFmtId="0" fontId="41" fillId="0" borderId="0" xfId="0" applyFont="1" applyAlignment="1">
      <alignment shrinkToFit="1"/>
    </xf>
    <xf numFmtId="0" fontId="22" fillId="0" borderId="0" xfId="0" applyFont="1">
      <alignment vertical="center"/>
    </xf>
    <xf numFmtId="0" fontId="42" fillId="0" borderId="0" xfId="0" applyFont="1" applyAlignment="1">
      <alignment shrinkToFit="1"/>
    </xf>
    <xf numFmtId="0" fontId="43" fillId="0" borderId="0" xfId="0" applyFont="1" applyAlignment="1">
      <alignment shrinkToFit="1"/>
    </xf>
    <xf numFmtId="0" fontId="44" fillId="0" borderId="0" xfId="0" applyFont="1" applyAlignment="1">
      <alignment shrinkToFit="1"/>
    </xf>
    <xf numFmtId="0" fontId="45" fillId="0" borderId="0" xfId="0" applyFont="1" applyAlignment="1">
      <alignment shrinkToFit="1"/>
    </xf>
    <xf numFmtId="0" fontId="27" fillId="0" borderId="0" xfId="0" applyFont="1">
      <alignment vertical="center"/>
    </xf>
    <xf numFmtId="0" fontId="0" fillId="0" borderId="15" xfId="0" applyBorder="1" applyAlignment="1">
      <alignment vertical="center" wrapText="1"/>
    </xf>
    <xf numFmtId="0" fontId="10" fillId="0" borderId="1" xfId="0" applyFont="1" applyBorder="1" applyAlignment="1">
      <alignment vertical="center" wrapText="1"/>
    </xf>
    <xf numFmtId="0" fontId="47" fillId="0" borderId="0" xfId="0" applyFont="1">
      <alignment vertical="center"/>
    </xf>
    <xf numFmtId="0" fontId="9" fillId="0" borderId="0" xfId="0" applyFont="1">
      <alignment vertical="center"/>
    </xf>
    <xf numFmtId="0" fontId="5" fillId="0" borderId="0" xfId="0" applyFont="1" applyFill="1" applyBorder="1" applyAlignment="1"/>
    <xf numFmtId="57" fontId="0" fillId="0" borderId="0" xfId="0" applyNumberFormat="1">
      <alignment vertical="center"/>
    </xf>
    <xf numFmtId="0" fontId="0" fillId="2" borderId="1" xfId="0" applyFill="1" applyBorder="1" applyAlignment="1" applyProtection="1">
      <alignment horizontal="center" vertical="center"/>
      <protection locked="0"/>
    </xf>
    <xf numFmtId="57" fontId="0" fillId="2" borderId="1" xfId="0" applyNumberFormat="1" applyFill="1" applyBorder="1" applyProtection="1">
      <alignment vertical="center"/>
      <protection locked="0"/>
    </xf>
    <xf numFmtId="0" fontId="0" fillId="2" borderId="1" xfId="0" applyFill="1" applyBorder="1" applyProtection="1">
      <alignment vertical="center"/>
      <protection locked="0"/>
    </xf>
    <xf numFmtId="38" fontId="0" fillId="2" borderId="1" xfId="1" applyFont="1" applyFill="1" applyBorder="1" applyProtection="1">
      <alignment vertical="center"/>
      <protection locked="0"/>
    </xf>
    <xf numFmtId="10" fontId="22" fillId="9" borderId="1" xfId="0" applyNumberFormat="1" applyFont="1" applyFill="1" applyBorder="1">
      <alignment vertical="center"/>
    </xf>
    <xf numFmtId="0" fontId="28" fillId="9" borderId="1" xfId="0" applyFont="1" applyFill="1" applyBorder="1" applyAlignment="1"/>
    <xf numFmtId="0" fontId="22" fillId="9" borderId="1" xfId="0" applyNumberFormat="1" applyFont="1" applyFill="1" applyBorder="1">
      <alignment vertical="center"/>
    </xf>
    <xf numFmtId="0" fontId="22" fillId="9" borderId="5" xfId="0" applyNumberFormat="1" applyFont="1" applyFill="1" applyBorder="1">
      <alignment vertical="center"/>
    </xf>
    <xf numFmtId="0" fontId="48" fillId="0" borderId="0" xfId="0" applyFont="1">
      <alignment vertical="center"/>
    </xf>
    <xf numFmtId="0" fontId="46" fillId="0" borderId="0" xfId="0" applyFont="1" applyAlignment="1">
      <alignment vertical="top" wrapText="1"/>
    </xf>
    <xf numFmtId="10" fontId="21" fillId="0" borderId="1" xfId="0" applyNumberFormat="1" applyFont="1" applyBorder="1">
      <alignment vertical="center"/>
    </xf>
    <xf numFmtId="176" fontId="21" fillId="0" borderId="1" xfId="0" applyNumberFormat="1" applyFont="1" applyBorder="1">
      <alignment vertical="center"/>
    </xf>
    <xf numFmtId="0" fontId="49" fillId="0" borderId="0" xfId="0" applyNumberFormat="1" applyFont="1" applyFill="1" applyAlignment="1">
      <alignment vertical="center"/>
    </xf>
    <xf numFmtId="0" fontId="49" fillId="4" borderId="0" xfId="0" applyFont="1" applyFill="1" applyAlignment="1">
      <alignment vertical="center"/>
    </xf>
    <xf numFmtId="0" fontId="49" fillId="0" borderId="0" xfId="0" applyFont="1" applyFill="1" applyAlignment="1">
      <alignment vertical="center"/>
    </xf>
    <xf numFmtId="0" fontId="41" fillId="0" borderId="0" xfId="0" applyFont="1" applyAlignment="1">
      <alignment vertical="center"/>
    </xf>
    <xf numFmtId="0" fontId="41" fillId="0" borderId="0" xfId="0" applyFont="1" applyBorder="1" applyAlignment="1">
      <alignment vertical="center"/>
    </xf>
    <xf numFmtId="0" fontId="41" fillId="0" borderId="1" xfId="0" applyFont="1" applyBorder="1" applyAlignment="1">
      <alignment vertical="center"/>
    </xf>
    <xf numFmtId="0" fontId="41" fillId="0" borderId="1" xfId="0" applyFont="1" applyBorder="1" applyAlignment="1">
      <alignment horizontal="right" vertical="center"/>
    </xf>
    <xf numFmtId="177" fontId="41" fillId="3" borderId="1" xfId="0" applyNumberFormat="1" applyFont="1" applyFill="1" applyBorder="1" applyAlignment="1">
      <alignment vertical="center"/>
    </xf>
    <xf numFmtId="0" fontId="36" fillId="0" borderId="1" xfId="0" applyNumberFormat="1" applyFont="1" applyBorder="1">
      <alignment vertical="center"/>
    </xf>
    <xf numFmtId="3" fontId="41" fillId="3" borderId="1" xfId="0" applyNumberFormat="1" applyFont="1" applyFill="1" applyBorder="1" applyAlignment="1">
      <alignment vertical="center"/>
    </xf>
    <xf numFmtId="0" fontId="41" fillId="3" borderId="1" xfId="0" applyFont="1" applyFill="1" applyBorder="1" applyAlignment="1">
      <alignment vertical="center"/>
    </xf>
    <xf numFmtId="0" fontId="41" fillId="0" borderId="1" xfId="0" applyFont="1" applyBorder="1" applyAlignment="1">
      <alignment horizontal="center" vertical="center"/>
    </xf>
    <xf numFmtId="177" fontId="41" fillId="0" borderId="4" xfId="0" applyNumberFormat="1" applyFont="1" applyBorder="1" applyAlignment="1">
      <alignment vertical="center"/>
    </xf>
    <xf numFmtId="0" fontId="41" fillId="0" borderId="4" xfId="0" applyFont="1" applyBorder="1" applyAlignment="1">
      <alignment horizontal="center" vertical="center"/>
    </xf>
    <xf numFmtId="177" fontId="41" fillId="0" borderId="3" xfId="0" applyNumberFormat="1" applyFont="1" applyBorder="1" applyAlignment="1">
      <alignment vertical="center"/>
    </xf>
    <xf numFmtId="177" fontId="41" fillId="0" borderId="1" xfId="0" applyNumberFormat="1" applyFont="1" applyBorder="1" applyAlignment="1">
      <alignment vertical="center"/>
    </xf>
    <xf numFmtId="177" fontId="41" fillId="0" borderId="4" xfId="0" applyNumberFormat="1" applyFont="1" applyBorder="1" applyAlignment="1">
      <alignment horizontal="center" vertical="center"/>
    </xf>
    <xf numFmtId="177" fontId="41" fillId="0" borderId="3" xfId="0" applyNumberFormat="1" applyFont="1" applyBorder="1" applyAlignment="1">
      <alignment horizontal="center" vertical="center"/>
    </xf>
    <xf numFmtId="0" fontId="33" fillId="0" borderId="4" xfId="0" applyFont="1" applyBorder="1" applyAlignment="1">
      <alignment horizontal="center" vertical="center"/>
    </xf>
    <xf numFmtId="177" fontId="41" fillId="0" borderId="1" xfId="0" applyNumberFormat="1" applyFont="1" applyFill="1" applyBorder="1" applyAlignment="1">
      <alignment vertical="center"/>
    </xf>
    <xf numFmtId="0" fontId="36" fillId="0" borderId="0" xfId="0" applyNumberFormat="1" applyFont="1">
      <alignment vertical="center"/>
    </xf>
    <xf numFmtId="0" fontId="36" fillId="0" borderId="0" xfId="0" applyFont="1">
      <alignment vertical="center"/>
    </xf>
    <xf numFmtId="0" fontId="41" fillId="0" borderId="1" xfId="0" applyNumberFormat="1" applyFont="1" applyBorder="1" applyAlignment="1">
      <alignment vertical="center" textRotation="255"/>
    </xf>
    <xf numFmtId="177" fontId="8" fillId="0" borderId="1" xfId="0" applyNumberFormat="1" applyFont="1" applyBorder="1" applyAlignment="1">
      <alignment vertical="center"/>
    </xf>
    <xf numFmtId="177" fontId="41" fillId="7" borderId="4" xfId="0" applyNumberFormat="1" applyFont="1" applyFill="1" applyBorder="1" applyAlignment="1">
      <alignment vertical="center"/>
    </xf>
    <xf numFmtId="0" fontId="41" fillId="7" borderId="4" xfId="0" applyFont="1" applyFill="1" applyBorder="1" applyAlignment="1">
      <alignment horizontal="center" vertical="center"/>
    </xf>
    <xf numFmtId="177" fontId="41" fillId="7" borderId="3" xfId="0" applyNumberFormat="1" applyFont="1" applyFill="1" applyBorder="1" applyAlignment="1">
      <alignment vertical="center"/>
    </xf>
    <xf numFmtId="0" fontId="41" fillId="7" borderId="1" xfId="0" applyFont="1" applyFill="1" applyBorder="1" applyAlignment="1">
      <alignment horizontal="center" vertical="center"/>
    </xf>
    <xf numFmtId="177" fontId="41" fillId="7" borderId="1" xfId="0" applyNumberFormat="1" applyFont="1" applyFill="1" applyBorder="1" applyAlignment="1">
      <alignment vertical="center"/>
    </xf>
    <xf numFmtId="0" fontId="50" fillId="0" borderId="0" xfId="0" applyFont="1" applyAlignment="1">
      <alignment wrapText="1"/>
    </xf>
    <xf numFmtId="0" fontId="51" fillId="0" borderId="0" xfId="0" applyFont="1" applyAlignment="1"/>
    <xf numFmtId="179" fontId="32" fillId="0" borderId="0" xfId="0" applyNumberFormat="1" applyFont="1" applyBorder="1" applyAlignment="1"/>
    <xf numFmtId="0" fontId="0" fillId="0" borderId="9" xfId="0" applyFill="1" applyBorder="1" applyAlignment="1">
      <alignment horizontal="center"/>
    </xf>
    <xf numFmtId="0" fontId="0" fillId="0" borderId="11" xfId="0" applyBorder="1">
      <alignment vertical="center"/>
    </xf>
    <xf numFmtId="0" fontId="0" fillId="0" borderId="14" xfId="0" applyBorder="1">
      <alignment vertical="center"/>
    </xf>
    <xf numFmtId="0" fontId="5" fillId="0" borderId="11" xfId="0" applyFont="1" applyBorder="1">
      <alignment vertical="center"/>
    </xf>
    <xf numFmtId="0" fontId="5" fillId="0" borderId="0" xfId="0" applyFont="1" applyBorder="1" applyAlignment="1"/>
    <xf numFmtId="0" fontId="5" fillId="0" borderId="11" xfId="0" applyFont="1" applyBorder="1" applyAlignment="1"/>
    <xf numFmtId="0" fontId="0" fillId="7" borderId="11" xfId="0" applyFill="1" applyBorder="1" applyAlignment="1"/>
    <xf numFmtId="179" fontId="29" fillId="0" borderId="0" xfId="0" applyNumberFormat="1" applyFont="1" applyBorder="1" applyAlignment="1"/>
    <xf numFmtId="0" fontId="5" fillId="0" borderId="9" xfId="0" applyFont="1" applyBorder="1">
      <alignment vertical="center"/>
    </xf>
    <xf numFmtId="0" fontId="52" fillId="0" borderId="0" xfId="0" applyFont="1" applyAlignment="1">
      <alignment horizontal="right"/>
    </xf>
    <xf numFmtId="0" fontId="8" fillId="0" borderId="0" xfId="0" applyFont="1" applyAlignment="1">
      <alignment shrinkToFit="1"/>
    </xf>
    <xf numFmtId="0" fontId="8" fillId="0" borderId="0" xfId="0" applyFont="1" applyAlignment="1"/>
    <xf numFmtId="180" fontId="52" fillId="0" borderId="11" xfId="0" applyNumberFormat="1" applyFont="1" applyBorder="1" applyAlignment="1"/>
    <xf numFmtId="40" fontId="52" fillId="0" borderId="11" xfId="0" applyNumberFormat="1" applyFont="1" applyBorder="1" applyAlignment="1"/>
    <xf numFmtId="179" fontId="52" fillId="0" borderId="11" xfId="0" applyNumberFormat="1" applyFont="1" applyBorder="1" applyAlignment="1"/>
    <xf numFmtId="0" fontId="52" fillId="0" borderId="11" xfId="0" applyFont="1" applyBorder="1" applyAlignment="1"/>
    <xf numFmtId="0" fontId="3" fillId="0" borderId="0" xfId="0" applyFont="1" applyBorder="1" applyAlignment="1">
      <alignment horizontal="left" vertical="top" wrapText="1"/>
    </xf>
    <xf numFmtId="0" fontId="0" fillId="8" borderId="22" xfId="0" applyFill="1" applyBorder="1" applyAlignment="1">
      <alignment horizontal="center" vertical="center"/>
    </xf>
    <xf numFmtId="0" fontId="0" fillId="8" borderId="23" xfId="0" applyFill="1"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182" fontId="0" fillId="8" borderId="2" xfId="0" applyNumberFormat="1" applyFill="1" applyBorder="1" applyAlignment="1">
      <alignment horizontal="center" vertical="center"/>
    </xf>
    <xf numFmtId="182" fontId="0" fillId="8" borderId="28" xfId="0" applyNumberFormat="1" applyFill="1" applyBorder="1" applyAlignment="1">
      <alignment horizontal="center" vertical="center"/>
    </xf>
    <xf numFmtId="182" fontId="0" fillId="8" borderId="15" xfId="0" applyNumberFormat="1" applyFill="1" applyBorder="1" applyAlignment="1">
      <alignment horizontal="center" vertical="center"/>
    </xf>
    <xf numFmtId="182" fontId="0" fillId="8" borderId="16" xfId="0" applyNumberFormat="1" applyFill="1" applyBorder="1" applyAlignment="1">
      <alignment horizontal="center" vertical="center"/>
    </xf>
    <xf numFmtId="182" fontId="0" fillId="8" borderId="8" xfId="0" applyNumberFormat="1" applyFill="1" applyBorder="1" applyAlignment="1">
      <alignment horizontal="center" vertical="center"/>
    </xf>
    <xf numFmtId="182" fontId="0" fillId="8" borderId="18" xfId="0" applyNumberFormat="1" applyFill="1" applyBorder="1" applyAlignment="1">
      <alignment horizontal="center" vertical="center"/>
    </xf>
    <xf numFmtId="182" fontId="0" fillId="8" borderId="1" xfId="0" applyNumberFormat="1" applyFill="1" applyBorder="1" applyAlignment="1">
      <alignment horizontal="center" vertical="center"/>
    </xf>
    <xf numFmtId="182" fontId="0" fillId="8" borderId="20" xfId="0" applyNumberFormat="1" applyFill="1" applyBorder="1" applyAlignment="1">
      <alignment horizontal="center" vertical="center"/>
    </xf>
    <xf numFmtId="182" fontId="0" fillId="8" borderId="5" xfId="0" applyNumberFormat="1" applyFill="1" applyBorder="1" applyAlignment="1">
      <alignment horizontal="center" vertical="center"/>
    </xf>
    <xf numFmtId="182" fontId="0" fillId="8" borderId="25" xfId="0" applyNumberFormat="1" applyFill="1" applyBorder="1" applyAlignment="1">
      <alignment horizontal="center" vertical="center"/>
    </xf>
    <xf numFmtId="0" fontId="9" fillId="0" borderId="0" xfId="0" applyFont="1" applyAlignment="1">
      <alignment horizontal="left" vertical="top" wrapText="1"/>
    </xf>
    <xf numFmtId="0" fontId="9" fillId="0" borderId="0" xfId="0" applyFont="1" applyAlignment="1">
      <alignment horizontal="left" vertical="top"/>
    </xf>
    <xf numFmtId="0" fontId="9" fillId="0" borderId="2" xfId="0" applyFont="1" applyBorder="1" applyAlignment="1">
      <alignment horizontal="center" vertical="center"/>
    </xf>
    <xf numFmtId="0" fontId="9" fillId="0" borderId="4" xfId="0" applyFont="1" applyBorder="1" applyAlignment="1">
      <alignment horizontal="center" vertical="center"/>
    </xf>
    <xf numFmtId="0" fontId="9" fillId="0" borderId="3" xfId="0" applyFont="1" applyBorder="1" applyAlignment="1">
      <alignment horizontal="center" vertical="center"/>
    </xf>
    <xf numFmtId="0" fontId="41" fillId="0" borderId="3" xfId="0" applyFont="1" applyBorder="1" applyAlignment="1">
      <alignment horizontal="center" vertical="center"/>
    </xf>
    <xf numFmtId="0" fontId="41" fillId="0" borderId="1" xfId="0" applyFont="1" applyBorder="1" applyAlignment="1">
      <alignment horizontal="center" vertical="center"/>
    </xf>
    <xf numFmtId="0" fontId="41" fillId="0" borderId="2" xfId="0" applyFont="1" applyBorder="1" applyAlignment="1">
      <alignment horizontal="center" vertical="center"/>
    </xf>
    <xf numFmtId="0" fontId="41" fillId="0" borderId="4" xfId="0" applyFont="1" applyBorder="1" applyAlignment="1">
      <alignment horizontal="center" vertical="center"/>
    </xf>
    <xf numFmtId="0" fontId="41" fillId="0" borderId="1" xfId="0" applyFont="1" applyBorder="1" applyAlignment="1">
      <alignment horizontal="center" vertical="center" textRotation="255"/>
    </xf>
    <xf numFmtId="0" fontId="41" fillId="0" borderId="2" xfId="0" applyFont="1" applyBorder="1" applyAlignment="1">
      <alignment horizontal="center" vertical="center" textRotation="255"/>
    </xf>
    <xf numFmtId="0" fontId="41" fillId="0" borderId="5" xfId="0" applyFont="1" applyBorder="1" applyAlignment="1">
      <alignment horizontal="center" vertical="center" textRotation="255"/>
    </xf>
    <xf numFmtId="0" fontId="41" fillId="0" borderId="26" xfId="0" applyFont="1" applyBorder="1" applyAlignment="1">
      <alignment horizontal="center" vertical="center" textRotation="255"/>
    </xf>
    <xf numFmtId="0" fontId="41" fillId="0" borderId="27" xfId="0" applyFont="1" applyBorder="1" applyAlignment="1">
      <alignment horizontal="center" vertical="center" textRotation="255"/>
    </xf>
    <xf numFmtId="0" fontId="14" fillId="0" borderId="1" xfId="0" applyFont="1" applyFill="1" applyBorder="1" applyAlignment="1">
      <alignment horizontal="center" vertical="center"/>
    </xf>
    <xf numFmtId="0" fontId="0" fillId="0" borderId="8" xfId="0" applyBorder="1" applyAlignment="1">
      <alignment horizontal="center"/>
    </xf>
    <xf numFmtId="57" fontId="22" fillId="0" borderId="0" xfId="0" applyNumberFormat="1" applyFont="1" applyAlignment="1">
      <alignment horizontal="center"/>
    </xf>
    <xf numFmtId="0" fontId="13" fillId="0" borderId="0" xfId="0" applyFont="1" applyAlignment="1">
      <alignment horizontal="left" vertical="top"/>
    </xf>
    <xf numFmtId="0" fontId="16" fillId="0" borderId="0" xfId="0" applyFont="1" applyAlignment="1">
      <alignment horizontal="left" vertical="center" wrapText="1"/>
    </xf>
    <xf numFmtId="0" fontId="16" fillId="0" borderId="0" xfId="0" applyFont="1" applyAlignment="1">
      <alignment horizontal="left"/>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7"/>
  <sheetViews>
    <sheetView tabSelected="1" view="pageLayout" zoomScaleNormal="100" workbookViewId="0">
      <selection activeCell="D10" sqref="D10"/>
    </sheetView>
  </sheetViews>
  <sheetFormatPr defaultRowHeight="13.5"/>
  <cols>
    <col min="1" max="1" width="15.625" customWidth="1"/>
    <col min="2" max="2" width="16" customWidth="1"/>
    <col min="3" max="4" width="16.125" customWidth="1"/>
    <col min="5" max="5" width="16.75" customWidth="1"/>
    <col min="6" max="6" width="17.25" customWidth="1"/>
    <col min="7" max="7" width="2.875" hidden="1" customWidth="1"/>
    <col min="8" max="8" width="5.125" hidden="1" customWidth="1"/>
    <col min="9" max="9" width="0.5" customWidth="1"/>
    <col min="10" max="12" width="9.75" customWidth="1"/>
    <col min="13" max="15" width="6.5" customWidth="1"/>
  </cols>
  <sheetData>
    <row r="1" spans="1:15" ht="16.5" customHeight="1">
      <c r="B1" s="140" t="s">
        <v>189</v>
      </c>
    </row>
    <row r="2" spans="1:15" ht="208.5" customHeight="1">
      <c r="A2" s="207" t="s">
        <v>173</v>
      </c>
      <c r="B2" s="208"/>
      <c r="C2" s="208"/>
      <c r="D2" s="208"/>
      <c r="E2" s="208"/>
      <c r="F2" s="208"/>
      <c r="G2" s="208"/>
      <c r="H2" s="208"/>
      <c r="I2" s="208"/>
      <c r="J2" s="1"/>
      <c r="K2" s="1"/>
      <c r="L2" s="1"/>
      <c r="M2" s="1"/>
      <c r="N2" s="1"/>
      <c r="O2" s="1"/>
    </row>
    <row r="3" spans="1:15" ht="18.75" customHeight="1">
      <c r="B3" s="134"/>
      <c r="C3" t="s">
        <v>2</v>
      </c>
    </row>
    <row r="4" spans="1:15" ht="18.75" customHeight="1">
      <c r="A4" s="128" t="s">
        <v>0</v>
      </c>
      <c r="C4" s="125"/>
      <c r="D4" s="209" t="s">
        <v>190</v>
      </c>
      <c r="E4" s="210"/>
      <c r="F4" s="211"/>
    </row>
    <row r="5" spans="1:15" ht="45" customHeight="1">
      <c r="A5" s="83" t="s">
        <v>130</v>
      </c>
      <c r="B5" s="127" t="s">
        <v>165</v>
      </c>
      <c r="C5" s="84" t="s">
        <v>142</v>
      </c>
      <c r="D5" s="2" t="s">
        <v>3</v>
      </c>
      <c r="E5" s="2" t="s">
        <v>4</v>
      </c>
      <c r="F5" s="4" t="s">
        <v>5</v>
      </c>
    </row>
    <row r="6" spans="1:15" ht="18.75" customHeight="1">
      <c r="A6" s="5" t="s">
        <v>1</v>
      </c>
      <c r="B6" s="132"/>
      <c r="C6" s="133"/>
      <c r="D6" s="135"/>
      <c r="E6" s="135"/>
      <c r="F6" s="135"/>
    </row>
    <row r="7" spans="1:15" ht="18.75" customHeight="1">
      <c r="B7" s="31" t="str">
        <f>IF(AND('計算処理用（入力不可）'!Z8&gt;74,B6="有"),"↑75歳以上の方で国保加入有は選択できません。",IF(C6=0,"",IF(B6="","↑「国保加入有無」を選択してください。計算できません。","")))</f>
        <v/>
      </c>
      <c r="C7" s="125"/>
    </row>
    <row r="8" spans="1:15" ht="18.75" customHeight="1">
      <c r="A8" s="129" t="s">
        <v>188</v>
      </c>
      <c r="D8" s="209" t="s">
        <v>199</v>
      </c>
      <c r="E8" s="210"/>
      <c r="F8" s="211"/>
    </row>
    <row r="9" spans="1:15" ht="18.75" customHeight="1">
      <c r="A9" s="195"/>
      <c r="B9" s="196"/>
      <c r="C9" s="84" t="s">
        <v>142</v>
      </c>
      <c r="D9" s="2" t="s">
        <v>3</v>
      </c>
      <c r="E9" s="2" t="s">
        <v>4</v>
      </c>
      <c r="F9" s="4" t="s">
        <v>5</v>
      </c>
    </row>
    <row r="10" spans="1:15" ht="18.75" customHeight="1">
      <c r="A10" s="195" t="s">
        <v>181</v>
      </c>
      <c r="B10" s="196"/>
      <c r="C10" s="133"/>
      <c r="D10" s="135"/>
      <c r="E10" s="135"/>
      <c r="F10" s="135"/>
    </row>
    <row r="11" spans="1:15" ht="18.75" customHeight="1">
      <c r="A11" s="195" t="s">
        <v>182</v>
      </c>
      <c r="B11" s="196"/>
      <c r="C11" s="133"/>
      <c r="D11" s="135"/>
      <c r="E11" s="135"/>
      <c r="F11" s="135"/>
    </row>
    <row r="12" spans="1:15" ht="18.75" customHeight="1">
      <c r="A12" s="195" t="s">
        <v>183</v>
      </c>
      <c r="B12" s="196"/>
      <c r="C12" s="133"/>
      <c r="D12" s="135"/>
      <c r="E12" s="135"/>
      <c r="F12" s="135"/>
    </row>
    <row r="13" spans="1:15" ht="18.75" customHeight="1">
      <c r="A13" s="195" t="s">
        <v>184</v>
      </c>
      <c r="B13" s="196"/>
      <c r="C13" s="133"/>
      <c r="D13" s="135"/>
      <c r="E13" s="135"/>
      <c r="F13" s="135"/>
    </row>
    <row r="14" spans="1:15" ht="18.75" customHeight="1">
      <c r="A14" s="195" t="s">
        <v>185</v>
      </c>
      <c r="B14" s="196"/>
      <c r="C14" s="133"/>
      <c r="D14" s="135"/>
      <c r="E14" s="135"/>
      <c r="F14" s="135"/>
    </row>
    <row r="15" spans="1:15" ht="18.75" customHeight="1">
      <c r="A15" s="195" t="s">
        <v>186</v>
      </c>
      <c r="B15" s="196"/>
      <c r="C15" s="133"/>
      <c r="D15" s="135"/>
      <c r="E15" s="135"/>
      <c r="F15" s="135"/>
    </row>
    <row r="16" spans="1:15" ht="18.75" customHeight="1">
      <c r="A16" s="195" t="s">
        <v>187</v>
      </c>
      <c r="B16" s="196"/>
      <c r="C16" s="133"/>
      <c r="D16" s="135"/>
      <c r="E16" s="135"/>
      <c r="F16" s="135"/>
    </row>
    <row r="17" spans="1:6" ht="10.5" customHeight="1"/>
    <row r="18" spans="1:6" ht="18.75" customHeight="1">
      <c r="A18" t="s">
        <v>192</v>
      </c>
      <c r="B18" t="s">
        <v>6</v>
      </c>
      <c r="C18" s="125"/>
    </row>
    <row r="19" spans="1:6" ht="23.25" customHeight="1">
      <c r="A19" s="2" t="s">
        <v>7</v>
      </c>
      <c r="B19" s="3" t="s">
        <v>11</v>
      </c>
      <c r="C19" s="6" t="s">
        <v>12</v>
      </c>
      <c r="D19" s="6" t="s">
        <v>196</v>
      </c>
      <c r="E19" s="2" t="s">
        <v>191</v>
      </c>
    </row>
    <row r="20" spans="1:6" ht="18.75" customHeight="1">
      <c r="A20" s="2" t="s">
        <v>8</v>
      </c>
      <c r="B20" s="142">
        <v>6.8000000000000005E-2</v>
      </c>
      <c r="C20" s="142">
        <v>2.6599999999999999E-2</v>
      </c>
      <c r="D20" s="142">
        <v>2.5499999999999998E-2</v>
      </c>
      <c r="E20" s="142">
        <v>2.5999999999999999E-3</v>
      </c>
    </row>
    <row r="21" spans="1:6" ht="18.75" customHeight="1">
      <c r="A21" s="2" t="s">
        <v>9</v>
      </c>
      <c r="B21" s="143">
        <v>23464</v>
      </c>
      <c r="C21" s="143">
        <v>9162</v>
      </c>
      <c r="D21" s="143">
        <v>9201</v>
      </c>
      <c r="E21" s="143">
        <v>984</v>
      </c>
      <c r="F21" s="141" t="s">
        <v>195</v>
      </c>
    </row>
    <row r="22" spans="1:6" ht="18.75" customHeight="1">
      <c r="A22" s="2" t="s">
        <v>10</v>
      </c>
      <c r="B22" s="143">
        <v>28586</v>
      </c>
      <c r="C22" s="143">
        <v>11162</v>
      </c>
      <c r="D22" s="143">
        <v>8488</v>
      </c>
      <c r="E22" s="143">
        <v>1119</v>
      </c>
      <c r="F22" s="141"/>
    </row>
    <row r="23" spans="1:6" ht="18.75" customHeight="1">
      <c r="A23" s="91" t="s">
        <v>148</v>
      </c>
      <c r="B23" s="143">
        <v>670000</v>
      </c>
      <c r="C23" s="143">
        <v>260000</v>
      </c>
      <c r="D23" s="143">
        <v>170000</v>
      </c>
      <c r="E23" s="143">
        <v>30000</v>
      </c>
    </row>
    <row r="24" spans="1:6" ht="6.75" customHeight="1"/>
    <row r="25" spans="1:6" ht="15.75" customHeight="1" thickBot="1">
      <c r="A25" s="106" t="s">
        <v>154</v>
      </c>
      <c r="B25" s="125" t="str">
        <f>IF(OR('計算処理用（入力不可）'!Z33&gt;74,'計算処理用（入力不可）'!Z58&gt;74,'計算処理用（入力不可）'!Z83&gt;74,'計算処理用（入力不可）'!Z108&gt;74,'計算処理用（入力不可）'!Z133&gt;74,'計算処理用（入力不可）'!Z158&gt;74,'計算処理用（入力不可）'!Z183&gt;74),"エラー：世帯員に75歳以上が入力されています",IF(AND(C10&lt;&gt;"",C6=""),"エラー：世帯主が入力されていません",""))</f>
        <v/>
      </c>
    </row>
    <row r="26" spans="1:6" ht="32.25" customHeight="1" thickBot="1">
      <c r="A26" s="126" t="s">
        <v>166</v>
      </c>
      <c r="B26" s="199">
        <f>'計算処理用（入力不可）'!AX206</f>
        <v>0</v>
      </c>
      <c r="C26" s="200"/>
      <c r="D26" s="115" t="s">
        <v>193</v>
      </c>
    </row>
    <row r="27" spans="1:6" ht="18.75" customHeight="1" thickBot="1">
      <c r="A27" s="90" t="s">
        <v>149</v>
      </c>
    </row>
    <row r="28" spans="1:6" ht="24" customHeight="1">
      <c r="A28" s="103" t="s">
        <v>150</v>
      </c>
      <c r="B28" s="201">
        <f>'計算処理用（入力不可）'!AX204</f>
        <v>0</v>
      </c>
      <c r="C28" s="202"/>
      <c r="E28" s="192" t="s">
        <v>207</v>
      </c>
      <c r="F28" s="192"/>
    </row>
    <row r="29" spans="1:6" ht="24" customHeight="1">
      <c r="A29" s="107" t="s">
        <v>151</v>
      </c>
      <c r="B29" s="203">
        <f>'計算処理用（入力不可）'!AY204</f>
        <v>0</v>
      </c>
      <c r="C29" s="204"/>
      <c r="E29" s="192"/>
      <c r="F29" s="192"/>
    </row>
    <row r="30" spans="1:6" ht="24" customHeight="1">
      <c r="A30" s="105" t="s">
        <v>152</v>
      </c>
      <c r="B30" s="205">
        <f>'計算処理用（入力不可）'!AZ204</f>
        <v>0</v>
      </c>
      <c r="C30" s="206"/>
      <c r="E30" s="192"/>
      <c r="F30" s="192"/>
    </row>
    <row r="31" spans="1:6" ht="24" customHeight="1">
      <c r="A31" s="105" t="s">
        <v>191</v>
      </c>
      <c r="B31" s="197">
        <f>'計算処理用（入力不可）'!BA204</f>
        <v>0</v>
      </c>
      <c r="C31" s="198"/>
      <c r="E31" s="192"/>
      <c r="F31" s="192"/>
    </row>
    <row r="32" spans="1:6" ht="24" customHeight="1" thickBot="1">
      <c r="A32" s="104" t="s">
        <v>153</v>
      </c>
      <c r="B32" s="193" t="str">
        <f>IF('計算処理用（入力不可）'!AV201=0,"軽減なし",'計算処理用（入力不可）'!AV201&amp;"割軽減")</f>
        <v>軽減なし</v>
      </c>
      <c r="C32" s="194"/>
    </row>
    <row r="33" ht="18.75" customHeight="1"/>
    <row r="34" ht="18.75" customHeight="1"/>
    <row r="35" ht="18.75" customHeight="1"/>
    <row r="36" ht="18.75" customHeight="1"/>
    <row r="37" ht="18.75" customHeight="1"/>
    <row r="38" ht="18.75" customHeight="1"/>
    <row r="39" ht="18.75" customHeight="1"/>
    <row r="40" ht="18.75" customHeight="1"/>
    <row r="41" ht="18.75" customHeight="1"/>
    <row r="42" ht="18.75" customHeight="1"/>
    <row r="43" ht="18.75" customHeight="1"/>
    <row r="44" ht="18.75" customHeight="1"/>
    <row r="45" ht="18.75" customHeight="1"/>
    <row r="46" ht="18.75" customHeight="1"/>
    <row r="47" ht="18.75" customHeight="1"/>
  </sheetData>
  <sheetProtection algorithmName="SHA-512" hashValue="UPXKRIXVXxJ4gkWkXTXf0G3y4gWv/kIPIeEILONrlYZWh0KK/2CLFnQvebzscgg7G8ZuYs3YPpB+l4EhOtSDkw==" saltValue="9SIQk2G3mHL7HF9gvXXqMg==" spinCount="100000" sheet="1" objects="1" scenarios="1" selectLockedCells="1"/>
  <mergeCells count="18">
    <mergeCell ref="A2:I2"/>
    <mergeCell ref="A9:B9"/>
    <mergeCell ref="A10:B10"/>
    <mergeCell ref="A11:B11"/>
    <mergeCell ref="A12:B12"/>
    <mergeCell ref="D4:F4"/>
    <mergeCell ref="D8:F8"/>
    <mergeCell ref="E28:F31"/>
    <mergeCell ref="B32:C32"/>
    <mergeCell ref="A15:B15"/>
    <mergeCell ref="A16:B16"/>
    <mergeCell ref="A13:B13"/>
    <mergeCell ref="A14:B14"/>
    <mergeCell ref="B31:C31"/>
    <mergeCell ref="B26:C26"/>
    <mergeCell ref="B28:C28"/>
    <mergeCell ref="B29:C29"/>
    <mergeCell ref="B30:C30"/>
  </mergeCells>
  <phoneticPr fontId="1"/>
  <dataValidations count="2">
    <dataValidation type="list" showInputMessage="1" showErrorMessage="1" sqref="B6">
      <formula1>"有,無"</formula1>
    </dataValidation>
    <dataValidation type="date" operator="greaterThanOrEqual" allowBlank="1" showInputMessage="1" showErrorMessage="1" errorTitle="生年月日を入力してください。" error="日付として認識できません。「19**/**/**」のように入力してください。" sqref="C6 C10:C16">
      <formula1>1</formula1>
    </dataValidation>
  </dataValidations>
  <pageMargins left="0.23622047244094491" right="0.23622047244094491" top="0.39370078740157483" bottom="0.3937007874015748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A253"/>
  <sheetViews>
    <sheetView topLeftCell="J1" zoomScale="80" zoomScaleNormal="80" workbookViewId="0">
      <selection activeCell="AH2" sqref="AH2"/>
    </sheetView>
  </sheetViews>
  <sheetFormatPr defaultRowHeight="13.5"/>
  <cols>
    <col min="2" max="2" width="12" customWidth="1"/>
    <col min="3" max="3" width="15.5" style="18" customWidth="1"/>
    <col min="4" max="4" width="9.125" bestFit="1" customWidth="1"/>
    <col min="6" max="8" width="9.125" bestFit="1" customWidth="1"/>
    <col min="11" max="11" width="9.75" bestFit="1" customWidth="1"/>
    <col min="13" max="15" width="9.125" bestFit="1" customWidth="1"/>
    <col min="18" max="18" width="9.75" bestFit="1" customWidth="1"/>
    <col min="20" max="22" width="9.125" bestFit="1" customWidth="1"/>
    <col min="24" max="24" width="10" customWidth="1"/>
    <col min="25" max="27" width="20.625" customWidth="1"/>
    <col min="35" max="35" width="11.125" customWidth="1"/>
    <col min="40" max="40" width="11.625" customWidth="1"/>
    <col min="41" max="41" width="9.375" bestFit="1" customWidth="1"/>
    <col min="42" max="42" width="14.5" customWidth="1"/>
    <col min="43" max="44" width="9.375" bestFit="1" customWidth="1"/>
    <col min="45" max="45" width="12.5" customWidth="1"/>
    <col min="46" max="46" width="9.375" bestFit="1" customWidth="1"/>
    <col min="47" max="47" width="10.25" bestFit="1" customWidth="1"/>
    <col min="48" max="49" width="9.375" bestFit="1" customWidth="1"/>
    <col min="50" max="52" width="10.75" customWidth="1"/>
    <col min="53" max="53" width="9.25" bestFit="1" customWidth="1"/>
  </cols>
  <sheetData>
    <row r="1" spans="1:53" ht="20.25" customHeight="1">
      <c r="A1" s="14" t="s">
        <v>30</v>
      </c>
      <c r="B1" s="15">
        <v>46113</v>
      </c>
      <c r="C1" s="17" t="s">
        <v>136</v>
      </c>
      <c r="D1" s="9"/>
      <c r="E1" s="8"/>
      <c r="F1" s="8"/>
      <c r="G1" s="8"/>
      <c r="H1" s="8"/>
      <c r="I1" s="10"/>
      <c r="J1" s="10"/>
      <c r="K1" s="9"/>
      <c r="L1" s="10"/>
      <c r="M1" s="10"/>
      <c r="N1" s="10"/>
      <c r="O1" s="10"/>
      <c r="P1" s="10"/>
      <c r="Q1" s="10"/>
      <c r="R1" s="9"/>
      <c r="S1" s="10"/>
      <c r="T1" s="10"/>
      <c r="U1" s="10"/>
      <c r="V1" s="10"/>
      <c r="X1" t="s">
        <v>137</v>
      </c>
      <c r="Y1" s="20" t="s">
        <v>139</v>
      </c>
      <c r="Z1" s="82">
        <v>430000</v>
      </c>
      <c r="AA1" s="7" t="s">
        <v>48</v>
      </c>
      <c r="AB1" s="223">
        <f>DATE(YEAR(B1),MONTH(B1),DAY(B1))</f>
        <v>46113</v>
      </c>
      <c r="AC1" s="223"/>
      <c r="AD1" s="223"/>
      <c r="AE1" s="3" t="s">
        <v>191</v>
      </c>
      <c r="AF1" s="2" t="s">
        <v>7</v>
      </c>
      <c r="AG1" s="3" t="s">
        <v>11</v>
      </c>
      <c r="AH1" s="6" t="s">
        <v>12</v>
      </c>
      <c r="AI1" s="3" t="s">
        <v>13</v>
      </c>
      <c r="AJ1" s="89" t="s">
        <v>145</v>
      </c>
      <c r="AK1" s="89" t="s">
        <v>146</v>
      </c>
      <c r="AL1" s="89" t="s">
        <v>147</v>
      </c>
      <c r="AM1" s="89" t="s">
        <v>200</v>
      </c>
      <c r="AO1" s="73" t="s">
        <v>132</v>
      </c>
      <c r="AP1" s="74" t="s">
        <v>133</v>
      </c>
      <c r="AQ1" s="7"/>
      <c r="AR1" s="7"/>
      <c r="AS1" s="7"/>
      <c r="AT1" s="7"/>
      <c r="AU1" s="7"/>
      <c r="AV1" s="7"/>
      <c r="AW1" s="7"/>
      <c r="AX1" s="7"/>
      <c r="AY1" s="7"/>
      <c r="AZ1" s="7"/>
    </row>
    <row r="2" spans="1:53">
      <c r="A2" s="7"/>
      <c r="B2" s="7" t="s">
        <v>28</v>
      </c>
      <c r="C2" s="144"/>
      <c r="D2" s="145" t="str">
        <f>IF(C4=0,"空欄",Z8)</f>
        <v>空欄</v>
      </c>
      <c r="E2" s="146" t="s">
        <v>29</v>
      </c>
      <c r="F2" s="146"/>
      <c r="G2" s="146"/>
      <c r="H2" s="146"/>
      <c r="I2" s="147"/>
      <c r="J2" s="147"/>
      <c r="K2" s="148" t="s">
        <v>14</v>
      </c>
      <c r="L2" s="147"/>
      <c r="M2" s="149"/>
      <c r="N2" s="150" t="s">
        <v>15</v>
      </c>
      <c r="O2" s="151">
        <f>H25+C7</f>
        <v>0</v>
      </c>
      <c r="P2" s="147"/>
      <c r="Q2" s="147"/>
      <c r="R2" s="147" t="s">
        <v>16</v>
      </c>
      <c r="S2" s="147"/>
      <c r="T2" s="149"/>
      <c r="U2" s="150" t="s">
        <v>15</v>
      </c>
      <c r="V2" s="151">
        <f>H25+C6</f>
        <v>0</v>
      </c>
      <c r="X2" s="81" t="s">
        <v>138</v>
      </c>
      <c r="Y2" s="20" t="s">
        <v>140</v>
      </c>
      <c r="Z2" s="82">
        <v>310000</v>
      </c>
      <c r="AA2" s="7"/>
      <c r="AB2" s="7"/>
      <c r="AC2" s="7"/>
      <c r="AD2" s="7" t="s">
        <v>123</v>
      </c>
      <c r="AE2" s="136">
        <f>簡易試算シート!E20</f>
        <v>2.5999999999999999E-3</v>
      </c>
      <c r="AF2" s="2" t="s">
        <v>8</v>
      </c>
      <c r="AG2" s="136">
        <f>簡易試算シート!B20</f>
        <v>6.8000000000000005E-2</v>
      </c>
      <c r="AH2" s="136">
        <f>簡易試算シート!C20</f>
        <v>2.6599999999999999E-2</v>
      </c>
      <c r="AI2" s="136">
        <f>簡易試算シート!D20</f>
        <v>2.5499999999999998E-2</v>
      </c>
      <c r="AJ2" s="137">
        <f>簡易試算シート!B23</f>
        <v>670000</v>
      </c>
      <c r="AK2" s="137">
        <f>簡易試算シート!C23</f>
        <v>260000</v>
      </c>
      <c r="AL2" s="137">
        <f>簡易試算シート!D23</f>
        <v>170000</v>
      </c>
      <c r="AM2" s="137">
        <f>簡易試算シート!E23</f>
        <v>30000</v>
      </c>
      <c r="AN2" s="19"/>
      <c r="AO2" s="7"/>
      <c r="AP2" s="7"/>
      <c r="AQ2" s="7"/>
      <c r="AR2" s="7"/>
      <c r="AS2" s="7"/>
      <c r="AT2" s="7"/>
      <c r="AU2" s="7"/>
      <c r="AV2" s="7"/>
      <c r="AW2" s="7"/>
      <c r="AX2" s="7"/>
      <c r="AY2" s="7"/>
      <c r="AZ2" s="7"/>
    </row>
    <row r="3" spans="1:53" ht="13.5" customHeight="1">
      <c r="A3" s="7" t="s">
        <v>35</v>
      </c>
      <c r="B3" s="2" t="s">
        <v>43</v>
      </c>
      <c r="C3" s="152">
        <f>簡易試算シート!B6</f>
        <v>0</v>
      </c>
      <c r="D3" s="212" t="s">
        <v>17</v>
      </c>
      <c r="E3" s="213"/>
      <c r="F3" s="213"/>
      <c r="G3" s="213"/>
      <c r="H3" s="153">
        <f>C5</f>
        <v>0</v>
      </c>
      <c r="I3" s="147"/>
      <c r="J3" s="217" t="s">
        <v>33</v>
      </c>
      <c r="K3" s="213" t="s">
        <v>31</v>
      </c>
      <c r="L3" s="213"/>
      <c r="M3" s="213"/>
      <c r="N3" s="213"/>
      <c r="O3" s="154">
        <f>IF(D2&lt;65,C6,0)</f>
        <v>0</v>
      </c>
      <c r="P3" s="147"/>
      <c r="Q3" s="216" t="s">
        <v>34</v>
      </c>
      <c r="R3" s="213" t="s">
        <v>32</v>
      </c>
      <c r="S3" s="213"/>
      <c r="T3" s="213"/>
      <c r="U3" s="213"/>
      <c r="V3" s="154">
        <f>IF(D2&gt;=65,C6,0)</f>
        <v>0</v>
      </c>
      <c r="Y3" s="20" t="s">
        <v>141</v>
      </c>
      <c r="Z3" s="82">
        <v>570000</v>
      </c>
      <c r="AA3" s="7"/>
      <c r="AB3" s="7"/>
      <c r="AC3" s="7"/>
      <c r="AD3" s="7"/>
      <c r="AE3" s="138">
        <f>簡易試算シート!E21</f>
        <v>984</v>
      </c>
      <c r="AF3" s="2" t="s">
        <v>9</v>
      </c>
      <c r="AG3" s="138">
        <f>簡易試算シート!B21</f>
        <v>23464</v>
      </c>
      <c r="AH3" s="138">
        <f>簡易試算シート!C21</f>
        <v>9162</v>
      </c>
      <c r="AI3" s="138">
        <f>簡易試算シート!D21</f>
        <v>9201</v>
      </c>
      <c r="AJ3" s="7"/>
      <c r="AK3" s="7"/>
      <c r="AL3" s="7"/>
      <c r="AM3" s="7"/>
      <c r="AN3" s="29">
        <f>AN4-1</f>
        <v>46112</v>
      </c>
      <c r="AO3" s="29">
        <f t="shared" ref="AO3:AX3" si="0">AO4-1</f>
        <v>46142</v>
      </c>
      <c r="AP3" s="29">
        <f t="shared" si="0"/>
        <v>46173</v>
      </c>
      <c r="AQ3" s="29">
        <f t="shared" si="0"/>
        <v>46203</v>
      </c>
      <c r="AR3" s="29">
        <f t="shared" si="0"/>
        <v>46234</v>
      </c>
      <c r="AS3" s="29">
        <f t="shared" si="0"/>
        <v>46265</v>
      </c>
      <c r="AT3" s="29">
        <f t="shared" si="0"/>
        <v>46295</v>
      </c>
      <c r="AU3" s="29">
        <f t="shared" si="0"/>
        <v>46326</v>
      </c>
      <c r="AV3" s="29">
        <f t="shared" si="0"/>
        <v>46356</v>
      </c>
      <c r="AW3" s="29">
        <f t="shared" si="0"/>
        <v>46387</v>
      </c>
      <c r="AX3" s="29">
        <f t="shared" si="0"/>
        <v>46418</v>
      </c>
      <c r="AY3" s="29">
        <f>AY4-1</f>
        <v>46446</v>
      </c>
      <c r="AZ3" s="29">
        <f>AZ4-1</f>
        <v>46477</v>
      </c>
      <c r="BA3" s="28"/>
    </row>
    <row r="4" spans="1:53" ht="14.25" thickBot="1">
      <c r="A4" s="7"/>
      <c r="B4" s="2" t="s">
        <v>44</v>
      </c>
      <c r="C4" s="152">
        <f>簡易試算シート!C6</f>
        <v>0</v>
      </c>
      <c r="D4" s="215" t="s">
        <v>18</v>
      </c>
      <c r="E4" s="215"/>
      <c r="F4" s="212"/>
      <c r="G4" s="155" t="s">
        <v>19</v>
      </c>
      <c r="H4" s="155" t="s">
        <v>20</v>
      </c>
      <c r="I4" s="147"/>
      <c r="J4" s="216"/>
      <c r="K4" s="215" t="s">
        <v>18</v>
      </c>
      <c r="L4" s="215"/>
      <c r="M4" s="212"/>
      <c r="N4" s="155" t="s">
        <v>19</v>
      </c>
      <c r="O4" s="155" t="s">
        <v>20</v>
      </c>
      <c r="P4" s="147"/>
      <c r="Q4" s="216"/>
      <c r="R4" s="215"/>
      <c r="S4" s="215"/>
      <c r="T4" s="212"/>
      <c r="U4" s="155" t="s">
        <v>19</v>
      </c>
      <c r="V4" s="155" t="s">
        <v>21</v>
      </c>
      <c r="Y4" s="7"/>
      <c r="Z4" s="7"/>
      <c r="AA4" s="7"/>
      <c r="AB4" s="7"/>
      <c r="AC4" s="7"/>
      <c r="AD4" s="7"/>
      <c r="AE4" s="139">
        <f>簡易試算シート!E22</f>
        <v>1119</v>
      </c>
      <c r="AF4" s="44" t="s">
        <v>10</v>
      </c>
      <c r="AG4" s="139">
        <f>簡易試算シート!B22</f>
        <v>28586</v>
      </c>
      <c r="AH4" s="139">
        <f>簡易試算シート!C22</f>
        <v>11162</v>
      </c>
      <c r="AI4" s="139">
        <f>簡易試算シート!D22</f>
        <v>8488</v>
      </c>
      <c r="AJ4" s="7"/>
      <c r="AK4" s="7"/>
      <c r="AL4" s="7"/>
      <c r="AM4" s="7"/>
      <c r="AN4" s="30">
        <f>DATE(YEAR(B1),MONTH(B1),DAY(B1))</f>
        <v>46113</v>
      </c>
      <c r="AO4" s="29">
        <f>DATE(YEAR(B1),MONTH(B1)+1,DAY(B1))</f>
        <v>46143</v>
      </c>
      <c r="AP4" s="29">
        <f>DATE(YEAR(B1),MONTH(B1)+2,DAY(B1))</f>
        <v>46174</v>
      </c>
      <c r="AQ4" s="29">
        <f>DATE(YEAR(B1),MONTH(B1)+3,DAY(B1))</f>
        <v>46204</v>
      </c>
      <c r="AR4" s="29">
        <f>DATE(YEAR(B1),MONTH(B1)+4,DAY(B1))</f>
        <v>46235</v>
      </c>
      <c r="AS4" s="29">
        <f>DATE(YEAR(B1),MONTH(B1)+5,DAY(B1))</f>
        <v>46266</v>
      </c>
      <c r="AT4" s="29">
        <f>DATE(YEAR(B1),MONTH(B1)+6,DAY(B1))</f>
        <v>46296</v>
      </c>
      <c r="AU4" s="29">
        <f>DATE(YEAR(B1),MONTH(B1)+7,DAY(B1))</f>
        <v>46327</v>
      </c>
      <c r="AV4" s="29">
        <f>DATE(YEAR(B1),MONTH(B1)+8,DAY(B1))</f>
        <v>46357</v>
      </c>
      <c r="AW4" s="29">
        <f>DATE(YEAR(B1),MONTH(B1)+9,DAY(B1))</f>
        <v>46388</v>
      </c>
      <c r="AX4" s="29">
        <f>DATE(YEAR(B1),MONTH(B1)+10,DAY(B1))</f>
        <v>46419</v>
      </c>
      <c r="AY4" s="29">
        <f>DATE(YEAR(B1),MONTH(B1)+11,DAY(B1))</f>
        <v>46447</v>
      </c>
      <c r="AZ4" s="29">
        <f>DATE(YEAR(B1),MONTH(B1)+12,DAY(B1))</f>
        <v>46478</v>
      </c>
      <c r="BA4" s="28"/>
    </row>
    <row r="5" spans="1:53">
      <c r="A5" s="7"/>
      <c r="B5" s="2" t="s">
        <v>45</v>
      </c>
      <c r="C5" s="152">
        <f>簡易試算シート!D6</f>
        <v>0</v>
      </c>
      <c r="D5" s="11"/>
      <c r="E5" s="12" t="s">
        <v>22</v>
      </c>
      <c r="F5" s="13">
        <v>650999</v>
      </c>
      <c r="G5" s="155">
        <f>IF(AND(D5="",F5=""),0,IF(D5="",IF($H$3&lt;=F5,1,0),IF(F5="",IF($H$3&gt;=D5,1,0),IF(AND($H$3&gt;=D5,$H$3&lt;=F5),1,0))))</f>
        <v>1</v>
      </c>
      <c r="H5" s="159">
        <f>IF(G5=1,0,0)</f>
        <v>0</v>
      </c>
      <c r="I5" s="147"/>
      <c r="J5" s="216"/>
      <c r="K5" s="160"/>
      <c r="L5" s="157" t="s">
        <v>23</v>
      </c>
      <c r="M5" s="161"/>
      <c r="N5" s="155"/>
      <c r="O5" s="159"/>
      <c r="P5" s="147"/>
      <c r="Q5" s="216"/>
      <c r="R5" s="156"/>
      <c r="S5" s="157" t="s">
        <v>23</v>
      </c>
      <c r="T5" s="158"/>
      <c r="U5" s="155"/>
      <c r="V5" s="159"/>
      <c r="Y5" s="45"/>
      <c r="Z5" s="46" t="s">
        <v>49</v>
      </c>
      <c r="AA5" s="46" t="s">
        <v>50</v>
      </c>
      <c r="AB5" s="47" t="s">
        <v>51</v>
      </c>
      <c r="AC5" s="47" t="s">
        <v>52</v>
      </c>
      <c r="AD5" s="47" t="s">
        <v>53</v>
      </c>
      <c r="AE5" s="47" t="s">
        <v>54</v>
      </c>
      <c r="AF5" s="47" t="s">
        <v>55</v>
      </c>
      <c r="AG5" s="47" t="s">
        <v>56</v>
      </c>
      <c r="AH5" s="47" t="s">
        <v>57</v>
      </c>
      <c r="AI5" s="47" t="s">
        <v>58</v>
      </c>
      <c r="AJ5" s="47" t="s">
        <v>59</v>
      </c>
      <c r="AK5" s="47" t="s">
        <v>60</v>
      </c>
      <c r="AL5" s="47" t="s">
        <v>61</v>
      </c>
      <c r="AM5" s="47" t="s">
        <v>62</v>
      </c>
      <c r="AN5" s="47" t="s">
        <v>63</v>
      </c>
      <c r="AO5" s="47" t="s">
        <v>64</v>
      </c>
      <c r="AP5" s="222" t="s">
        <v>65</v>
      </c>
      <c r="AQ5" s="222"/>
      <c r="AR5" s="47"/>
      <c r="AS5" s="48" t="s">
        <v>66</v>
      </c>
      <c r="AT5" s="48" t="s">
        <v>67</v>
      </c>
      <c r="AU5" s="47"/>
      <c r="AV5" s="47"/>
      <c r="AW5" s="47"/>
      <c r="AX5" s="49" t="s">
        <v>68</v>
      </c>
      <c r="AY5" s="49" t="s">
        <v>69</v>
      </c>
      <c r="AZ5" s="49" t="s">
        <v>70</v>
      </c>
      <c r="BA5" s="176" t="s">
        <v>202</v>
      </c>
    </row>
    <row r="6" spans="1:53">
      <c r="A6" s="7"/>
      <c r="B6" s="2" t="s">
        <v>46</v>
      </c>
      <c r="C6" s="152">
        <f>簡易試算シート!E6</f>
        <v>0</v>
      </c>
      <c r="D6" s="11">
        <v>651000</v>
      </c>
      <c r="E6" s="12" t="s">
        <v>22</v>
      </c>
      <c r="F6" s="13">
        <v>1899999</v>
      </c>
      <c r="G6" s="155">
        <f>IF(AND(D6="",F6=""),0,IF(D6="",IF($H$3&lt;=F6,1,0),IF(F6="",IF($H$3&gt;=D6,1,0),IF(AND($H$3&gt;=D6,$H$3&lt;=F6),1,0))))</f>
        <v>0</v>
      </c>
      <c r="H6" s="167">
        <f>IF(G6=1,H3-650000,0)</f>
        <v>0</v>
      </c>
      <c r="I6" s="147"/>
      <c r="J6" s="216"/>
      <c r="K6" s="156"/>
      <c r="L6" s="157" t="s">
        <v>22</v>
      </c>
      <c r="M6" s="158">
        <v>1299999</v>
      </c>
      <c r="N6" s="155">
        <f>IF(AND(K6="",M6=""),0,IF(O2&gt;10000000,0,IF(K6="",IF(O3&lt;=M6,1,0),IF(M6="",IF(O3&gt;=K6,1,0),IF(AND(O3&gt;=K6,O3&lt;=M6),1,0)))))</f>
        <v>1</v>
      </c>
      <c r="O6" s="159">
        <f>IF(N6=1,IF(O3-600000&gt;0,O3-600000,0),0)</f>
        <v>0</v>
      </c>
      <c r="P6" s="147"/>
      <c r="Q6" s="216"/>
      <c r="R6" s="156"/>
      <c r="S6" s="157" t="s">
        <v>22</v>
      </c>
      <c r="T6" s="158">
        <v>3299999</v>
      </c>
      <c r="U6" s="155">
        <f>IF(AND(R6="",T6=""),0,IF(V2&gt;10000000,0,IF(R6="",IF(V3&lt;=T6,1,0),IF(T6="",IF(V3&gt;=R6,1,0),IF(AND(V3&gt;=R6,V3&lt;=T6),1,0)))))</f>
        <v>1</v>
      </c>
      <c r="V6" s="159">
        <f>IF(U6=1,IF(V3-1100000&gt;0,V3-1100000,0),0)</f>
        <v>0</v>
      </c>
      <c r="X6" t="s">
        <v>124</v>
      </c>
      <c r="Y6" s="50" t="s">
        <v>71</v>
      </c>
      <c r="Z6" s="51">
        <f>DATE(YEAR(C4)+40,MONTH(C4),DAY(C4))</f>
        <v>14610</v>
      </c>
      <c r="AA6" s="52">
        <f>DATE(YEAR(C4)+65,MONTH(C4),DAY(C4)-1)</f>
        <v>23741</v>
      </c>
      <c r="AB6" s="65">
        <f>IF(AND($Z6&lt;=AO$4,AO$3&lt;$AA6,AB7=1),1,IF(AND($Z6&lt;=AO$4,AO$3&lt;$AA6,AB7=2),2,0))</f>
        <v>0</v>
      </c>
      <c r="AC6" s="65">
        <f t="shared" ref="AC6:AG6" si="1">IF(AND($Z6&lt;=AP$4,AP$3&lt;$AA6,AC7=1),1,IF(AND($Z6&lt;=AP$4,AP$3&lt;$AA6,AC7=2),2,0))</f>
        <v>0</v>
      </c>
      <c r="AD6" s="65">
        <f t="shared" si="1"/>
        <v>0</v>
      </c>
      <c r="AE6" s="65">
        <f t="shared" si="1"/>
        <v>0</v>
      </c>
      <c r="AF6" s="65">
        <f t="shared" si="1"/>
        <v>0</v>
      </c>
      <c r="AG6" s="65">
        <f t="shared" si="1"/>
        <v>0</v>
      </c>
      <c r="AH6" s="65">
        <f t="shared" ref="AH6:AM6" si="2">IF(AND($Z6&lt;=AU$4,AU$3&lt;$AA6,AH7=1),1,IF(AND($Z6&lt;=AU$4,AU$3&lt;$AA6,AH7=2),2,0))</f>
        <v>0</v>
      </c>
      <c r="AI6" s="65">
        <f t="shared" si="2"/>
        <v>0</v>
      </c>
      <c r="AJ6" s="65">
        <f t="shared" si="2"/>
        <v>0</v>
      </c>
      <c r="AK6" s="65">
        <f t="shared" si="2"/>
        <v>0</v>
      </c>
      <c r="AL6" s="65">
        <f t="shared" si="2"/>
        <v>0</v>
      </c>
      <c r="AM6" s="65">
        <f t="shared" si="2"/>
        <v>0</v>
      </c>
      <c r="AN6" s="54">
        <f>COUNTIF(AB6:AM6,1)</f>
        <v>0</v>
      </c>
      <c r="AO6" s="55">
        <f>IF(AN6&gt;0,1,0)</f>
        <v>0</v>
      </c>
      <c r="AP6" s="20" t="s">
        <v>72</v>
      </c>
      <c r="AQ6" s="71"/>
      <c r="AR6" s="20" t="s">
        <v>73</v>
      </c>
      <c r="AS6" s="37">
        <f>H25</f>
        <v>0</v>
      </c>
      <c r="AT6" s="43">
        <f>MAX(IF(AND(Z9=1,Z10=0),AR10+AP9+AS8+IF(AS9&gt;150000,AS9-150000,0),IF(AND(Z9=1,Z10=1),AS10+AP9+AS8+IF(AS9&gt;150000,AS9-150000,0),0)),0)</f>
        <v>0</v>
      </c>
      <c r="AU6" s="56"/>
      <c r="AV6" s="56"/>
      <c r="AW6" s="57" t="s">
        <v>74</v>
      </c>
      <c r="AX6" s="75">
        <f>(AN7-AN9)/12*AU9*$AG$2</f>
        <v>0</v>
      </c>
      <c r="AY6" s="75">
        <f>(AN7-AN9)/12*AU9*$AH$2</f>
        <v>0</v>
      </c>
      <c r="AZ6" s="75">
        <f>IF(AO6=0,0,(AN6-AN8)/12*AU9*$AI$2)</f>
        <v>0</v>
      </c>
      <c r="BA6" s="181">
        <f>(AN7-AN9)/12*AU9*$AE$2</f>
        <v>0</v>
      </c>
    </row>
    <row r="7" spans="1:53">
      <c r="A7" s="7"/>
      <c r="B7" s="2" t="s">
        <v>47</v>
      </c>
      <c r="C7" s="152">
        <f>簡易試算シート!F6</f>
        <v>0</v>
      </c>
      <c r="D7" s="168"/>
      <c r="E7" s="169"/>
      <c r="F7" s="170"/>
      <c r="G7" s="171"/>
      <c r="H7" s="172"/>
      <c r="I7" s="147"/>
      <c r="J7" s="216"/>
      <c r="K7" s="156">
        <v>1300000</v>
      </c>
      <c r="L7" s="157" t="s">
        <v>22</v>
      </c>
      <c r="M7" s="158">
        <v>4099999</v>
      </c>
      <c r="N7" s="155">
        <f>IF(AND(K7="",M7=""),0,IF(O2&gt;10000000,0,IF(K7="",IF(O3&lt;=M7,1,0),IF(M7="",IF(O3&gt;=K7,1,0),IF(AND(O3&gt;=K7,O3&lt;=M7),1,0)))))</f>
        <v>0</v>
      </c>
      <c r="O7" s="159">
        <f>IF(N7=1,ROUNDDOWN(O3*0.75-275000,0),0)</f>
        <v>0</v>
      </c>
      <c r="P7" s="147"/>
      <c r="Q7" s="216"/>
      <c r="R7" s="156">
        <v>3300000</v>
      </c>
      <c r="S7" s="157" t="s">
        <v>22</v>
      </c>
      <c r="T7" s="158">
        <v>4099999</v>
      </c>
      <c r="U7" s="155">
        <f>IF(AND(R7="",T7=""),0,IF(V2&gt;10000000,0,IF(R7="",IF(V3&lt;=T7,1,0),IF(T7="",IF(V3&gt;=R7,1,0),IF(AND(V3&gt;=R7,V3&lt;=T7),1,0)))))</f>
        <v>0</v>
      </c>
      <c r="V7" s="159">
        <f>IF(U7=1,ROUNDDOWN(V3*0.75-275000,0),0)</f>
        <v>0</v>
      </c>
      <c r="Y7" s="50" t="s">
        <v>75</v>
      </c>
      <c r="Z7" s="56"/>
      <c r="AA7" s="56"/>
      <c r="AB7" s="53">
        <f>IF(C4=0,0,IF(C3="有",1,IF(C3="無",2,"有無要選択")))</f>
        <v>0</v>
      </c>
      <c r="AC7" s="53">
        <f>AB7</f>
        <v>0</v>
      </c>
      <c r="AD7" s="53">
        <f t="shared" ref="AD7:AL7" si="3">AC7</f>
        <v>0</v>
      </c>
      <c r="AE7" s="53">
        <f t="shared" si="3"/>
        <v>0</v>
      </c>
      <c r="AF7" s="53">
        <f t="shared" si="3"/>
        <v>0</v>
      </c>
      <c r="AG7" s="53">
        <f t="shared" si="3"/>
        <v>0</v>
      </c>
      <c r="AH7" s="53">
        <f t="shared" si="3"/>
        <v>0</v>
      </c>
      <c r="AI7" s="53">
        <f t="shared" si="3"/>
        <v>0</v>
      </c>
      <c r="AJ7" s="53">
        <f t="shared" si="3"/>
        <v>0</v>
      </c>
      <c r="AK7" s="53">
        <f t="shared" si="3"/>
        <v>0</v>
      </c>
      <c r="AL7" s="53">
        <f t="shared" si="3"/>
        <v>0</v>
      </c>
      <c r="AM7" s="53">
        <f>AL7</f>
        <v>0</v>
      </c>
      <c r="AN7" s="54">
        <f>COUNTIF(AB7:AM7,1)</f>
        <v>0</v>
      </c>
      <c r="AO7" s="56"/>
      <c r="AP7" s="22" t="s">
        <v>76</v>
      </c>
      <c r="AQ7" s="72"/>
      <c r="AR7" s="36" t="s">
        <v>77</v>
      </c>
      <c r="AS7" s="35">
        <v>0</v>
      </c>
      <c r="AT7" s="24" t="s">
        <v>78</v>
      </c>
      <c r="AU7" s="42">
        <f>AP9+AP10+AS8+AS9</f>
        <v>0</v>
      </c>
      <c r="AV7" s="56"/>
      <c r="AW7" s="59" t="s">
        <v>79</v>
      </c>
      <c r="AX7" s="70"/>
      <c r="AY7" s="70"/>
      <c r="AZ7" s="70"/>
      <c r="BA7" s="182"/>
    </row>
    <row r="8" spans="1:53">
      <c r="A8" s="7"/>
      <c r="B8" s="2"/>
      <c r="C8" s="152"/>
      <c r="D8" s="168"/>
      <c r="E8" s="169"/>
      <c r="F8" s="170"/>
      <c r="G8" s="171"/>
      <c r="H8" s="172"/>
      <c r="I8" s="147"/>
      <c r="J8" s="216"/>
      <c r="K8" s="156">
        <v>4100000</v>
      </c>
      <c r="L8" s="157" t="s">
        <v>24</v>
      </c>
      <c r="M8" s="158">
        <v>7699999</v>
      </c>
      <c r="N8" s="155">
        <f>IF(AND(K8="",M8=""),0,IF(O2&gt;10000000,0,IF(K8="",IF(O3&lt;=M8,1,0),IF(M8="",IF(O3&gt;=K8,1,0),IF(AND(O3&gt;=K8,O3&lt;=M8),1,0)))))</f>
        <v>0</v>
      </c>
      <c r="O8" s="159">
        <f>IF(N8=1,ROUNDDOWN(O3*0.85-685000,0),0)</f>
        <v>0</v>
      </c>
      <c r="P8" s="147"/>
      <c r="Q8" s="216"/>
      <c r="R8" s="156">
        <v>4100000</v>
      </c>
      <c r="S8" s="157" t="s">
        <v>22</v>
      </c>
      <c r="T8" s="158">
        <v>7699999</v>
      </c>
      <c r="U8" s="155">
        <f>IF(AND(R8="",T8=""),0,IF(V2&gt;10000000,0,IF(R8="",IF(V3&lt;=T8,1,0),IF(T8="",IF(V3&gt;=R8,1,0),IF(AND(V3&gt;=R8,V3&lt;=T8),1,0)))))</f>
        <v>0</v>
      </c>
      <c r="V8" s="159">
        <f>IF(U8=1,ROUNDDOWN(V3*0.85-685000,0),0)</f>
        <v>0</v>
      </c>
      <c r="Y8" s="58" t="s">
        <v>80</v>
      </c>
      <c r="Z8" s="55">
        <f>IF(C4=0,0,IF($AB$1&lt;C4,0,DATEDIF(MIN(C4,DATE(YEAR($AB$1),1,1)),DATE(YEAR($AB$1),1,1),"y")))</f>
        <v>0</v>
      </c>
      <c r="AA8" s="59" t="s">
        <v>81</v>
      </c>
      <c r="AB8" s="60">
        <v>0</v>
      </c>
      <c r="AC8" s="60">
        <v>0</v>
      </c>
      <c r="AD8" s="60">
        <v>0</v>
      </c>
      <c r="AE8" s="60">
        <v>0</v>
      </c>
      <c r="AF8" s="60">
        <v>0</v>
      </c>
      <c r="AG8" s="60">
        <v>0</v>
      </c>
      <c r="AH8" s="60">
        <v>0</v>
      </c>
      <c r="AI8" s="60">
        <v>0</v>
      </c>
      <c r="AJ8" s="60">
        <v>0</v>
      </c>
      <c r="AK8" s="60">
        <v>0</v>
      </c>
      <c r="AL8" s="60">
        <v>0</v>
      </c>
      <c r="AM8" s="60">
        <v>0</v>
      </c>
      <c r="AN8" s="60">
        <v>0</v>
      </c>
      <c r="AO8" s="32" t="s">
        <v>82</v>
      </c>
      <c r="AP8" s="33"/>
      <c r="AQ8" s="221" t="s">
        <v>83</v>
      </c>
      <c r="AR8" s="221"/>
      <c r="AS8" s="38">
        <f>O25</f>
        <v>0</v>
      </c>
      <c r="AT8" s="32" t="s">
        <v>84</v>
      </c>
      <c r="AU8" s="33">
        <f>AS7+AP9+AS8+AS9</f>
        <v>0</v>
      </c>
      <c r="AV8" s="56"/>
      <c r="AW8" s="57" t="s">
        <v>85</v>
      </c>
      <c r="AX8" s="76">
        <f>IF(C3="無",0,IF(AN7=0,0,IF(AD10="0",$AG$3*AN7/12,IF($AV$201=0,$AG$3*AN7/12*5/10,$AG$3*AN7/12))))</f>
        <v>0</v>
      </c>
      <c r="AY8" s="76">
        <f>IF(C3="無",0,IF(AN7=0,0,IF(AD10="0",$AH$3*AN7/12,IF($AV$201=0,$AH$3*AN7/12*5/10,$AH$3*AN7/12))))</f>
        <v>0</v>
      </c>
      <c r="AZ8" s="175">
        <f>IF(C3="無",0,IF(AN6&gt;0,$AI$3*AN6/12,0))</f>
        <v>0</v>
      </c>
      <c r="BA8" s="181">
        <f>IF(AF10="1",0,IF(C3="無",0,IF(AN7=0,0,IF(AD10="0",$AE$3*AN7/12,IF($AV$201=0,$AE$3*AN7/12*5/10,$AE$3*AN7/12)))))</f>
        <v>0</v>
      </c>
    </row>
    <row r="9" spans="1:53" ht="33.75">
      <c r="A9" s="7"/>
      <c r="B9" s="2"/>
      <c r="C9" s="152"/>
      <c r="D9" s="168"/>
      <c r="E9" s="169"/>
      <c r="F9" s="170"/>
      <c r="G9" s="171"/>
      <c r="H9" s="172"/>
      <c r="I9" s="147"/>
      <c r="J9" s="216"/>
      <c r="K9" s="156">
        <v>7700000</v>
      </c>
      <c r="L9" s="157" t="s">
        <v>22</v>
      </c>
      <c r="M9" s="158">
        <v>9999999</v>
      </c>
      <c r="N9" s="155">
        <f>IF(AND(K9="",M9=""),0,IF(O2&gt;10000000,0,IF(K9="",IF(O3&lt;=M9,1,0),IF(M9="",IF(O3&gt;=K9,1,0),IF(AND(O3&gt;=K9,O3&lt;=M9),1,0)))))</f>
        <v>0</v>
      </c>
      <c r="O9" s="159">
        <f>IF(N9=1,ROUNDDOWN(O3*0.95-1455000,0),0)</f>
        <v>0</v>
      </c>
      <c r="P9" s="147"/>
      <c r="Q9" s="216"/>
      <c r="R9" s="156">
        <v>7700000</v>
      </c>
      <c r="S9" s="157" t="s">
        <v>24</v>
      </c>
      <c r="T9" s="158">
        <v>9999999</v>
      </c>
      <c r="U9" s="155">
        <f>IF(AND(R9="",T9=""),0,IF(V2&gt;10000000,0,IF(R9="",IF(V3&lt;=T9,1,0),IF(T9="",IF(V3&gt;=R9,1,0),IF(AND(V3&gt;=R9,V3&lt;=T9),1,0)))))</f>
        <v>0</v>
      </c>
      <c r="V9" s="159">
        <f>IF(U9=1,ROUNDDOWN(V3*0.95-1455000,0),0)</f>
        <v>0</v>
      </c>
      <c r="Y9" s="58" t="s">
        <v>86</v>
      </c>
      <c r="Z9" s="55">
        <f>IF(C4=0,0,1)</f>
        <v>0</v>
      </c>
      <c r="AA9" s="61" t="s">
        <v>87</v>
      </c>
      <c r="AB9" s="60">
        <v>0</v>
      </c>
      <c r="AC9" s="60">
        <v>0</v>
      </c>
      <c r="AD9" s="60">
        <v>0</v>
      </c>
      <c r="AE9" s="60">
        <v>0</v>
      </c>
      <c r="AF9" s="60">
        <v>0</v>
      </c>
      <c r="AG9" s="60">
        <v>0</v>
      </c>
      <c r="AH9" s="60">
        <v>0</v>
      </c>
      <c r="AI9" s="60">
        <v>0</v>
      </c>
      <c r="AJ9" s="60">
        <v>0</v>
      </c>
      <c r="AK9" s="60">
        <v>0</v>
      </c>
      <c r="AL9" s="60">
        <v>0</v>
      </c>
      <c r="AM9" s="60">
        <v>0</v>
      </c>
      <c r="AN9" s="60">
        <f>COUNTIF(AB9:AM9,1)</f>
        <v>0</v>
      </c>
      <c r="AO9" s="24" t="s">
        <v>88</v>
      </c>
      <c r="AP9" s="34">
        <f>C7</f>
        <v>0</v>
      </c>
      <c r="AQ9" s="221" t="s">
        <v>89</v>
      </c>
      <c r="AR9" s="221"/>
      <c r="AS9" s="39">
        <f>V25</f>
        <v>0</v>
      </c>
      <c r="AT9" s="24" t="s">
        <v>90</v>
      </c>
      <c r="AU9" s="41">
        <f>IF(C3="無",0,IF(AU7&lt;430000,0,AU7-430000))</f>
        <v>0</v>
      </c>
      <c r="AV9" s="56"/>
      <c r="AW9" s="79" t="s">
        <v>91</v>
      </c>
      <c r="AX9" s="78">
        <f>IF(C3="無",0,IF(AN7=0,0,IF(AD10="0",$AG$3*AN7/12,IF($AV$201=0,$AG$3*AN7/12*5/10,IF($AV$201=7,$AG$3*AN7/12*0.85,IF($AV$201=5,$AG$3*AN7/12*0.75,IF($AV$201=2,$AG$3*AN7/12*0.6,$AG$3*AN7/12)))))))</f>
        <v>0</v>
      </c>
      <c r="AY9" s="78">
        <f>IF(C3="無",0,IF(AN7=0,0,IF(AD10="0",$AH$3*AN7/12,IF($AV$201=0,$AH$3*AN7/12*5/10,IF($AV$201=7,$AH$3*AN7/12*0.85,IF($AV$201=5,$AH$3*AN7/12*0.75,IF($AV$201=2,$AH$3*AN7/12*0.6,$AH$3*AN7/12)))))))</f>
        <v>0</v>
      </c>
      <c r="AZ9" s="56" t="s">
        <v>203</v>
      </c>
      <c r="BA9" s="62" t="s">
        <v>203</v>
      </c>
    </row>
    <row r="10" spans="1:53" ht="33.75">
      <c r="A10" s="7"/>
      <c r="B10" s="2"/>
      <c r="C10" s="152"/>
      <c r="D10" s="168"/>
      <c r="E10" s="169"/>
      <c r="F10" s="170"/>
      <c r="G10" s="171"/>
      <c r="H10" s="172"/>
      <c r="I10" s="147"/>
      <c r="J10" s="216"/>
      <c r="K10" s="156">
        <v>10000000</v>
      </c>
      <c r="L10" s="157" t="s">
        <v>22</v>
      </c>
      <c r="M10" s="158"/>
      <c r="N10" s="155">
        <f>IF(AND(K10="",M10=""),0,IF(O2&gt;10000000,0,IF(K10="",IF(O3&lt;=M10,1,0),IF(M10="",IF(O3&gt;=K10,1,0),IF(AND(O3&gt;=K10,O3&lt;=M10),1,0)))))</f>
        <v>0</v>
      </c>
      <c r="O10" s="159">
        <f>IF(N10=1,O3-1955000,0)</f>
        <v>0</v>
      </c>
      <c r="P10" s="147"/>
      <c r="Q10" s="216"/>
      <c r="R10" s="156">
        <v>10000000</v>
      </c>
      <c r="S10" s="157" t="s">
        <v>22</v>
      </c>
      <c r="T10" s="158"/>
      <c r="U10" s="155">
        <f>IF(AND(R10="",T10=""),0,IF(V2&gt;10000000,0,IF(R10="",IF(V3&lt;=T10,1,0),IF(T10="",IF(V3&gt;=R10,1,0),IF(AND(V3&gt;=R10,V3&lt;=T10),1,0)))))</f>
        <v>0</v>
      </c>
      <c r="V10" s="159">
        <f>IF(U10=1,V3-1955000,0)</f>
        <v>0</v>
      </c>
      <c r="Y10" s="63" t="s">
        <v>92</v>
      </c>
      <c r="Z10" s="60">
        <v>0</v>
      </c>
      <c r="AA10" s="64" t="s">
        <v>93</v>
      </c>
      <c r="AB10" s="130">
        <f>IF(Z9=0,0,IF(H3&gt;550000,1,IF(O3&gt;600000,1,IF(V3&gt;1250000,1,0))))</f>
        <v>0</v>
      </c>
      <c r="AC10" s="77" t="s">
        <v>94</v>
      </c>
      <c r="AD10" s="66" t="str">
        <f>IF(C4&gt;=EDATE($AB$1,-72)+1,"1","0")</f>
        <v>0</v>
      </c>
      <c r="AE10" s="173" t="s">
        <v>201</v>
      </c>
      <c r="AF10" s="174" t="str">
        <f>IF(C4&gt;=EDATE($AB$1,-216)+1,"1","0")</f>
        <v>0</v>
      </c>
      <c r="AG10" s="56"/>
      <c r="AH10" s="56"/>
      <c r="AI10" s="56"/>
      <c r="AJ10" s="56"/>
      <c r="AK10" s="56"/>
      <c r="AL10" s="56"/>
      <c r="AM10" s="56"/>
      <c r="AN10" s="56"/>
      <c r="AO10" s="26" t="s">
        <v>95</v>
      </c>
      <c r="AP10" s="43">
        <f>IF(AND(AS6+AP8&gt;0,AS8+AS9&gt;0),IF(AS6+AP8+AS8+AS9&lt;=100000,AS6+AP8,AS6+AP8-(MIN(AS6+AP8,100000)+MIN(AS8+AS9,100000)-100000)),AS6+AP8)</f>
        <v>0</v>
      </c>
      <c r="AQ10" s="27" t="s">
        <v>96</v>
      </c>
      <c r="AR10" s="43">
        <f>IF(AND(AS6+AP8&gt;0,AS8+AS9-MIN(AS9,150000)&gt;0),IF(AS6+AP8+AS8+AS9-MIN(AS9,150000)&lt;=100000,AS6+AP8,AS6+AP8-(MIN(AS6+AP8,100000)+MIN(AS8+AS9-MIN(AS9,150000),100000)-100000)),AS6+AP8)</f>
        <v>0</v>
      </c>
      <c r="AS10" s="67">
        <f>IF(AND(AS6*30/100&gt;0,AS8+AS9-MIN(AS9,150000)&gt;0),IF(AS6*30/100+AS8+AS9-MIN(AS9,150000)&lt;=100000,AS6*30/100,AS6*30/100-(MIN(AS6*30/100,100000)+MIN(AS8+AS9-MIN(AS9,150000),100000)-100000)),AS6*30/100)</f>
        <v>0</v>
      </c>
      <c r="AT10" s="32" t="s">
        <v>97</v>
      </c>
      <c r="AU10" s="40">
        <f>IF(M10=99,0,IF(AU8&lt;430000,0,AU8-430000))</f>
        <v>0</v>
      </c>
      <c r="AV10" s="56"/>
      <c r="AW10" s="118" t="s">
        <v>163</v>
      </c>
      <c r="AX10" s="56">
        <f>IF($AV$201=0,AX8,IF(OR(C3="無",AN7=0),0,$AG$3*AN7/12*0.1*(10-$AV$201)*IF(AD10="1",0.5,1)))</f>
        <v>0</v>
      </c>
      <c r="AY10" s="56">
        <f>IF($AV$201=0,AY8,IF(OR(C3="無",AN7=0),0,$AH$3*AN7/12*0.1*(10-$AV$201)*IF(AD10="1",0.5,1)))</f>
        <v>0</v>
      </c>
      <c r="AZ10" s="180">
        <f>IF($AV$201=0,AZ8,IF(OR(C3="無",AN6=0),0,$AI$3*AN6/12*0.1*(10-$AV$201)))</f>
        <v>0</v>
      </c>
      <c r="BA10" s="181">
        <f>IF($AV$201=0,BA8,IF(OR(C3="無",AN7=0),0,$AE$3*AN7/12*0.1*(10-$AV$201)))</f>
        <v>0</v>
      </c>
    </row>
    <row r="11" spans="1:53" ht="14.25" thickBot="1">
      <c r="A11" s="7"/>
      <c r="B11" s="2"/>
      <c r="C11" s="152"/>
      <c r="D11" s="168"/>
      <c r="E11" s="169"/>
      <c r="F11" s="170"/>
      <c r="G11" s="171"/>
      <c r="H11" s="172"/>
      <c r="I11" s="147"/>
      <c r="J11" s="216"/>
      <c r="K11" s="156"/>
      <c r="L11" s="162" t="s">
        <v>25</v>
      </c>
      <c r="M11" s="158"/>
      <c r="N11" s="155"/>
      <c r="O11" s="159"/>
      <c r="P11" s="147"/>
      <c r="Q11" s="216"/>
      <c r="R11" s="156"/>
      <c r="S11" s="162" t="s">
        <v>25</v>
      </c>
      <c r="T11" s="158"/>
      <c r="U11" s="155"/>
      <c r="V11" s="159"/>
      <c r="Y11" s="68"/>
      <c r="Z11" s="69"/>
      <c r="AA11" s="69"/>
      <c r="AB11" s="69"/>
      <c r="AC11" s="69"/>
      <c r="AD11" s="69"/>
      <c r="AE11" s="69"/>
      <c r="AF11" s="69"/>
      <c r="AG11" s="69"/>
      <c r="AH11" s="69"/>
      <c r="AI11" s="69"/>
      <c r="AJ11" s="69"/>
      <c r="AK11" s="69"/>
      <c r="AL11" s="69"/>
      <c r="AM11" s="69"/>
      <c r="AN11" s="69"/>
      <c r="AO11" s="69"/>
      <c r="AP11" s="69"/>
      <c r="AQ11" s="69"/>
      <c r="AR11" s="69"/>
      <c r="AS11" s="69"/>
      <c r="AT11" s="69"/>
      <c r="AU11" s="69"/>
      <c r="AV11" s="69"/>
      <c r="AW11" s="69"/>
      <c r="AX11" s="69"/>
      <c r="AY11" s="69"/>
      <c r="AZ11" s="69"/>
      <c r="BA11" s="178"/>
    </row>
    <row r="12" spans="1:53">
      <c r="A12" s="7"/>
      <c r="B12" s="2"/>
      <c r="C12" s="152"/>
      <c r="D12" s="11">
        <v>1900000</v>
      </c>
      <c r="E12" s="157" t="s">
        <v>22</v>
      </c>
      <c r="F12" s="158">
        <v>3599999</v>
      </c>
      <c r="G12" s="155">
        <f>IF(AND(D12="",F12=""),0,IF(D12="",IF($H$3&lt;=F12,1,0),IF(F12="",IF($H$3&gt;=D12,1,0),IF(AND($H$3&gt;=D12,$H$3&lt;=F12),1,0))))</f>
        <v>0</v>
      </c>
      <c r="H12" s="163">
        <f>IF(G12=1,ROUNDDOWN(ROUNDDOWN(H3/4,-3)*2.8,0)-80000,0)</f>
        <v>0</v>
      </c>
      <c r="I12" s="147"/>
      <c r="J12" s="216"/>
      <c r="K12" s="156"/>
      <c r="L12" s="157" t="s">
        <v>24</v>
      </c>
      <c r="M12" s="158">
        <v>1299999</v>
      </c>
      <c r="N12" s="155">
        <f>IF(AND(K12="",M12=""),0,IF(O2&lt;=10000000,0,IF(O2&gt;20000000,0,IF(K12="",IF(O3&lt;=M12,1,0),IF(M12="",IF(O3&gt;=K12,1,0),IF(AND(O3&gt;=K12,O3&lt;=M12),1,0))))))</f>
        <v>0</v>
      </c>
      <c r="O12" s="159">
        <f>IF(N12=1,IF(O3-500000&gt;0,O3-500000,0),0)</f>
        <v>0</v>
      </c>
      <c r="P12" s="147"/>
      <c r="Q12" s="216"/>
      <c r="R12" s="156"/>
      <c r="S12" s="157" t="s">
        <v>22</v>
      </c>
      <c r="T12" s="158">
        <v>3299999</v>
      </c>
      <c r="U12" s="155">
        <f>IF(AND(R12="",T12=""),0,IF(V2&lt;=10000000,0,IF(V2&gt;20000000,0,IF(R12="",IF(V3&lt;=T12,1,0),IF(T12="",IF(V3&gt;=R12,1,0),IF(AND(V3&gt;=R12,V3&lt;=T12),1,0))))))</f>
        <v>0</v>
      </c>
      <c r="V12" s="159">
        <f>IF(U12=1,IF(V3-1000000&gt;0,V3-1000000,0),0)</f>
        <v>0</v>
      </c>
      <c r="Y12" s="7"/>
      <c r="Z12" s="7"/>
      <c r="AA12" s="7"/>
      <c r="AB12" s="7"/>
      <c r="AC12" s="7"/>
      <c r="AD12" s="7"/>
      <c r="AE12" s="7"/>
      <c r="AF12" s="7"/>
      <c r="AG12" s="7"/>
      <c r="AH12" s="7"/>
      <c r="AI12" s="7"/>
      <c r="AJ12" s="7"/>
      <c r="AK12" s="7"/>
      <c r="AL12" s="7"/>
      <c r="AM12" s="7"/>
      <c r="AN12" s="7"/>
      <c r="AO12" s="7"/>
      <c r="AP12" s="7"/>
      <c r="AQ12" s="7"/>
      <c r="AR12" s="7"/>
      <c r="AS12" s="7"/>
      <c r="AT12" s="7"/>
      <c r="AU12" s="7"/>
      <c r="AV12" s="7"/>
      <c r="AW12" s="7"/>
      <c r="AX12" s="7"/>
      <c r="AY12" s="7"/>
      <c r="AZ12" s="7"/>
    </row>
    <row r="13" spans="1:53">
      <c r="A13" s="7"/>
      <c r="B13" s="2"/>
      <c r="C13" s="152"/>
      <c r="D13" s="156">
        <v>3600000</v>
      </c>
      <c r="E13" s="157" t="s">
        <v>26</v>
      </c>
      <c r="F13" s="158">
        <v>6599999</v>
      </c>
      <c r="G13" s="155">
        <f t="shared" ref="G13:G24" si="4">IF(AND(D13="",F13=""),0,IF(D13="",IF($H$3&lt;=F13,1,0),IF(F13="",IF($H$3&gt;=D13,1,0),IF(AND($H$3&gt;=D13,$H$3&lt;=F13),1,0))))</f>
        <v>0</v>
      </c>
      <c r="H13" s="163">
        <f>IF(G13=1,ROUNDDOWN(ROUNDDOWN(H3/4,-3)*3.2,0)-440000,0)</f>
        <v>0</v>
      </c>
      <c r="I13" s="147"/>
      <c r="J13" s="216"/>
      <c r="K13" s="156">
        <v>1300000</v>
      </c>
      <c r="L13" s="157" t="s">
        <v>22</v>
      </c>
      <c r="M13" s="158">
        <v>4099999</v>
      </c>
      <c r="N13" s="155">
        <f>IF(AND(K13="",M13=""),0,IF(O2&lt;=10000000,0,IF(O2&gt;20000000,0,IF(K13="",IF(O3&lt;=M13,1,0),IF(M13="",IF(O3&gt;=K13,1,0),IF(AND(O3&gt;=K13,O3&lt;=M13),1,0))))))</f>
        <v>0</v>
      </c>
      <c r="O13" s="159">
        <f>IF(N13=1,ROUNDDOWN(O3*0.75-175000,0),0)</f>
        <v>0</v>
      </c>
      <c r="P13" s="147"/>
      <c r="Q13" s="216"/>
      <c r="R13" s="156">
        <v>3300000</v>
      </c>
      <c r="S13" s="157" t="s">
        <v>22</v>
      </c>
      <c r="T13" s="158">
        <v>4099999</v>
      </c>
      <c r="U13" s="155">
        <f>IF(AND(R13="",T13=""),0,IF(V2&lt;=10000000,0,IF(V2&gt;20000000,0,IF(R13="",IF(V3&lt;=T13,1,0),IF(T13="",IF(V3&gt;=R13,1,0),IF(AND(V3&gt;=R13,V3&lt;=T13),1,0))))))</f>
        <v>0</v>
      </c>
      <c r="V13" s="159">
        <f>IF(U13=1,ROUNDDOWN(V3*0.75-175000,0),0)</f>
        <v>0</v>
      </c>
      <c r="Y13" s="7"/>
      <c r="Z13" s="7"/>
      <c r="AA13" s="7"/>
      <c r="AB13" s="7"/>
      <c r="AC13" s="7"/>
      <c r="AD13" s="7"/>
      <c r="AE13" s="7"/>
      <c r="AF13" s="7"/>
      <c r="AG13" s="7"/>
      <c r="AH13" s="7"/>
      <c r="AI13" s="7"/>
      <c r="AJ13" s="7"/>
      <c r="AK13" s="7"/>
      <c r="AL13" s="7"/>
      <c r="AM13" s="7"/>
      <c r="AN13" s="7"/>
      <c r="AO13" s="7"/>
      <c r="AP13" s="7"/>
      <c r="AQ13" s="7"/>
      <c r="AR13" s="7"/>
      <c r="AS13" s="7"/>
      <c r="AT13" s="7"/>
      <c r="AU13" s="7"/>
      <c r="AV13" s="7"/>
      <c r="AW13" s="7"/>
      <c r="AX13" s="7"/>
      <c r="AY13" s="7"/>
      <c r="AZ13" s="7"/>
    </row>
    <row r="14" spans="1:53">
      <c r="A14" s="7"/>
      <c r="B14" s="2"/>
      <c r="C14" s="152"/>
      <c r="D14" s="156">
        <v>6600000</v>
      </c>
      <c r="E14" s="157" t="s">
        <v>22</v>
      </c>
      <c r="F14" s="158">
        <v>8499999</v>
      </c>
      <c r="G14" s="155">
        <f t="shared" si="4"/>
        <v>0</v>
      </c>
      <c r="H14" s="163">
        <f>IF(G14=1,ROUNDDOWN(H3*0.9-1100000,0),0)</f>
        <v>0</v>
      </c>
      <c r="I14" s="147"/>
      <c r="J14" s="216"/>
      <c r="K14" s="156">
        <v>4100000</v>
      </c>
      <c r="L14" s="157" t="s">
        <v>24</v>
      </c>
      <c r="M14" s="158">
        <v>7699999</v>
      </c>
      <c r="N14" s="155">
        <f>IF(AND(K14="",M14=""),0,IF(O2&lt;=10000000,0,IF(O2&gt;20000000,0,IF(K14="",IF(O3&lt;=M14,1,0),IF(M14="",IF(O3&gt;=K14,1,0),IF(AND(O3&gt;=K14,O3&lt;=M14),1,0))))))</f>
        <v>0</v>
      </c>
      <c r="O14" s="159">
        <f>IF(N14=1,ROUNDDOWN(O3*0.85-585000,0),0)</f>
        <v>0</v>
      </c>
      <c r="P14" s="147"/>
      <c r="Q14" s="216"/>
      <c r="R14" s="156">
        <v>4100000</v>
      </c>
      <c r="S14" s="157" t="s">
        <v>22</v>
      </c>
      <c r="T14" s="158">
        <v>7699999</v>
      </c>
      <c r="U14" s="155">
        <f>IF(AND(R14="",T14=""),0,IF(V2&lt;=10000000,0,IF(V2&gt;20000000,0,IF(R14="",IF(V3&lt;=T14,1,0),IF(T14="",IF(V3&gt;=R14,1,0),IF(AND(V3&gt;=R14,V3&lt;=T14),1,0))))))</f>
        <v>0</v>
      </c>
      <c r="V14" s="159">
        <f>IF(U14=1,ROUNDDOWN(V3*0.85-585000,0),0)</f>
        <v>0</v>
      </c>
      <c r="Y14" s="7"/>
      <c r="Z14" s="7"/>
      <c r="AA14" s="7"/>
      <c r="AB14" s="7"/>
      <c r="AC14" s="7"/>
      <c r="AD14" s="7"/>
      <c r="AE14" s="7"/>
      <c r="AF14" s="7"/>
      <c r="AG14" s="7"/>
      <c r="AH14" s="7"/>
      <c r="AI14" s="7"/>
      <c r="AJ14" s="7"/>
      <c r="AK14" s="7"/>
      <c r="AL14" s="7"/>
      <c r="AM14" s="7"/>
      <c r="AN14" s="7"/>
      <c r="AO14" s="7"/>
      <c r="AP14" s="7"/>
      <c r="AQ14" s="7"/>
      <c r="AR14" s="7"/>
      <c r="AS14" s="7"/>
      <c r="AT14" s="7"/>
      <c r="AU14" s="7"/>
      <c r="AV14" s="7"/>
      <c r="AW14" s="7"/>
      <c r="AX14" s="7"/>
      <c r="AY14" s="7"/>
      <c r="AZ14" s="7"/>
    </row>
    <row r="15" spans="1:53">
      <c r="A15" s="7"/>
      <c r="B15" s="2"/>
      <c r="C15" s="152"/>
      <c r="D15" s="156">
        <v>8500000</v>
      </c>
      <c r="E15" s="157" t="s">
        <v>26</v>
      </c>
      <c r="F15" s="158"/>
      <c r="G15" s="155">
        <f t="shared" si="4"/>
        <v>0</v>
      </c>
      <c r="H15" s="163">
        <f>IF(G15=1,H3-1950000,0)</f>
        <v>0</v>
      </c>
      <c r="I15" s="147"/>
      <c r="J15" s="216"/>
      <c r="K15" s="156">
        <v>7700000</v>
      </c>
      <c r="L15" s="157" t="s">
        <v>22</v>
      </c>
      <c r="M15" s="158">
        <v>9999999</v>
      </c>
      <c r="N15" s="155">
        <f>IF(AND(K15="",M15=""),0,IF(O2&lt;=10000000,0,IF(O2&gt;20000000,0,IF(K15="",IF(O3&lt;=M15,1,0),IF(M15="",IF(O3&gt;=K15,1,0),IF(AND(O3&gt;=K15,O3&lt;=M15),1,0))))))</f>
        <v>0</v>
      </c>
      <c r="O15" s="159">
        <f>IF(N15=1,ROUNDDOWN(O3*0.95-1355000,0),0)</f>
        <v>0</v>
      </c>
      <c r="P15" s="147"/>
      <c r="Q15" s="216"/>
      <c r="R15" s="156">
        <v>7700000</v>
      </c>
      <c r="S15" s="157" t="s">
        <v>22</v>
      </c>
      <c r="T15" s="158">
        <v>9999999</v>
      </c>
      <c r="U15" s="155">
        <f>IF(AND(R15="",T15=""),0,IF(V2&lt;=10000000,0,IF(V2&gt;20000000,0,IF(R15="",IF(V3&lt;=T15,1,0),IF(T15="",IF(V3&gt;=R15,1,0),IF(AND(V3&gt;=R15,V3&lt;=T15),1,0))))))</f>
        <v>0</v>
      </c>
      <c r="V15" s="159">
        <f>IF(U15=1,ROUNDDOWN(V3*0.95-1355000,0),0)</f>
        <v>0</v>
      </c>
      <c r="Y15" s="7"/>
      <c r="Z15" s="7"/>
      <c r="AA15" s="7"/>
      <c r="AB15" s="7"/>
      <c r="AC15" s="7"/>
      <c r="AD15" s="7"/>
      <c r="AE15" s="7"/>
      <c r="AF15" s="7"/>
      <c r="AG15" s="7"/>
      <c r="AH15" s="7"/>
      <c r="AI15" s="7"/>
      <c r="AJ15" s="7"/>
      <c r="AK15" s="7"/>
      <c r="AL15" s="7"/>
      <c r="AM15" s="7"/>
      <c r="AN15" s="7"/>
      <c r="AO15" s="7"/>
      <c r="AP15" s="7"/>
      <c r="AQ15" s="7"/>
      <c r="AR15" s="7"/>
      <c r="AS15" s="7"/>
      <c r="AT15" s="7"/>
      <c r="AU15" s="7"/>
      <c r="AV15" s="7"/>
      <c r="AW15" s="7"/>
      <c r="AX15" s="7"/>
      <c r="AY15" s="7"/>
      <c r="AZ15" s="7"/>
    </row>
    <row r="16" spans="1:53">
      <c r="A16" s="7"/>
      <c r="B16" s="2"/>
      <c r="C16" s="152"/>
      <c r="D16" s="156"/>
      <c r="E16" s="157" t="s">
        <v>22</v>
      </c>
      <c r="F16" s="158"/>
      <c r="G16" s="155">
        <f t="shared" si="4"/>
        <v>0</v>
      </c>
      <c r="H16" s="163"/>
      <c r="I16" s="147"/>
      <c r="J16" s="216"/>
      <c r="K16" s="156">
        <v>10000000</v>
      </c>
      <c r="L16" s="157" t="s">
        <v>24</v>
      </c>
      <c r="M16" s="158"/>
      <c r="N16" s="155">
        <f>IF(AND(K16="",M16=""),0,IF(O2&lt;=10000000,0,IF(O2&gt;20000000,0,IF(K16="",IF(O3&lt;=M16,1,0),IF(M16="",IF(O3&gt;=K16,1,0),IF(AND(O3&gt;=K16,O3&lt;=M16),1,0))))))</f>
        <v>0</v>
      </c>
      <c r="O16" s="159">
        <f>IF(N16=1,O3-1855000,0)</f>
        <v>0</v>
      </c>
      <c r="P16" s="147"/>
      <c r="Q16" s="216"/>
      <c r="R16" s="156">
        <v>10000000</v>
      </c>
      <c r="S16" s="157" t="s">
        <v>24</v>
      </c>
      <c r="T16" s="158"/>
      <c r="U16" s="155">
        <f>IF(AND(R16="",T16=""),0,IF(V2&lt;=10000000,0,IF(V2&gt;20000000,0,IF(R16="",IF(V3&lt;=T16,1,0),IF(T16="",IF(V3&gt;=R16,1,0),IF(AND(V3&gt;=R16,V3&lt;=T16),1,0))))))</f>
        <v>0</v>
      </c>
      <c r="V16" s="159">
        <f>IF(U16=1,V3-1855000,0)</f>
        <v>0</v>
      </c>
      <c r="Y16" s="7"/>
      <c r="Z16" s="7"/>
      <c r="AA16" s="7"/>
      <c r="AB16" s="7"/>
      <c r="AC16" s="7"/>
      <c r="AD16" s="7"/>
      <c r="AE16" s="7"/>
      <c r="AF16" s="7"/>
      <c r="AG16" s="7"/>
      <c r="AH16" s="7"/>
      <c r="AI16" s="7"/>
      <c r="AJ16" s="7"/>
      <c r="AK16" s="7"/>
      <c r="AL16" s="7"/>
      <c r="AM16" s="7"/>
      <c r="AN16" s="7"/>
      <c r="AO16" s="7"/>
      <c r="AP16" s="7"/>
      <c r="AQ16" s="7"/>
      <c r="AR16" s="7"/>
      <c r="AS16" s="7"/>
      <c r="AT16" s="7"/>
      <c r="AU16" s="7"/>
      <c r="AV16" s="7"/>
      <c r="AW16" s="7"/>
      <c r="AX16" s="7"/>
      <c r="AY16" s="7"/>
      <c r="AZ16" s="7"/>
    </row>
    <row r="17" spans="1:53">
      <c r="A17" s="7"/>
      <c r="B17" s="2"/>
      <c r="C17" s="152"/>
      <c r="D17" s="156"/>
      <c r="E17" s="157" t="s">
        <v>22</v>
      </c>
      <c r="F17" s="158"/>
      <c r="G17" s="155">
        <f t="shared" si="4"/>
        <v>0</v>
      </c>
      <c r="H17" s="163"/>
      <c r="I17" s="147"/>
      <c r="J17" s="216"/>
      <c r="K17" s="156"/>
      <c r="L17" s="162" t="s">
        <v>27</v>
      </c>
      <c r="M17" s="158"/>
      <c r="N17" s="155"/>
      <c r="O17" s="163"/>
      <c r="P17" s="147"/>
      <c r="Q17" s="216"/>
      <c r="R17" s="156"/>
      <c r="S17" s="162" t="s">
        <v>27</v>
      </c>
      <c r="T17" s="158"/>
      <c r="U17" s="155"/>
      <c r="V17" s="163"/>
      <c r="Y17" s="7"/>
      <c r="Z17" s="7"/>
      <c r="AA17" s="7"/>
      <c r="AB17" s="7"/>
      <c r="AC17" s="7"/>
      <c r="AD17" s="7"/>
      <c r="AE17" s="7"/>
      <c r="AF17" s="7"/>
      <c r="AG17" s="7"/>
      <c r="AH17" s="7"/>
      <c r="AI17" s="7"/>
      <c r="AJ17" s="7"/>
      <c r="AK17" s="7"/>
      <c r="AL17" s="7"/>
      <c r="AM17" s="7"/>
      <c r="AN17" s="7"/>
      <c r="AO17" s="7"/>
      <c r="AP17" s="7"/>
      <c r="AQ17" s="7"/>
      <c r="AR17" s="7"/>
      <c r="AS17" s="7"/>
      <c r="AT17" s="7"/>
      <c r="AU17" s="7"/>
      <c r="AV17" s="7"/>
      <c r="AW17" s="7"/>
      <c r="AX17" s="7"/>
      <c r="AY17" s="7"/>
      <c r="AZ17" s="7"/>
    </row>
    <row r="18" spans="1:53">
      <c r="A18" s="7"/>
      <c r="B18" s="2"/>
      <c r="C18" s="152"/>
      <c r="D18" s="156"/>
      <c r="E18" s="157" t="s">
        <v>26</v>
      </c>
      <c r="F18" s="158"/>
      <c r="G18" s="155">
        <f t="shared" si="4"/>
        <v>0</v>
      </c>
      <c r="H18" s="163"/>
      <c r="I18" s="147"/>
      <c r="J18" s="216"/>
      <c r="K18" s="156"/>
      <c r="L18" s="157" t="s">
        <v>24</v>
      </c>
      <c r="M18" s="158">
        <v>1299999</v>
      </c>
      <c r="N18" s="155">
        <f>IF(AND(K18="",M18=""),0,IF(O2&lt;=20000000,0,IF(K18="",IF(O3&lt;=M18,1,0),IF(M18="",IF(O3&gt;=K18,1,0),IF(AND(O3&gt;=K18,O3&lt;=M18),1,0)))))</f>
        <v>0</v>
      </c>
      <c r="O18" s="159">
        <f>IF(N18=1,IF(O3-400000&gt;0,O3-400000,0),0)</f>
        <v>0</v>
      </c>
      <c r="P18" s="147"/>
      <c r="Q18" s="216"/>
      <c r="R18" s="156"/>
      <c r="S18" s="157" t="s">
        <v>24</v>
      </c>
      <c r="T18" s="158">
        <v>3299999</v>
      </c>
      <c r="U18" s="155">
        <f>IF(AND(R18="",T18=""),0,IF(V2&lt;=20000000,0,IF(R18="",IF(V3&lt;=T18,1,0),IF(T18="",IF(V3&gt;=R18,1,0),IF(AND(V3&gt;=R18,V3&lt;=T18),1,0)))))</f>
        <v>0</v>
      </c>
      <c r="V18" s="159">
        <f>IF(U18=1,IF(V3-900000&gt;0,V3-900000,0),0)</f>
        <v>0</v>
      </c>
      <c r="Y18" s="7"/>
      <c r="Z18" s="7"/>
      <c r="AA18" s="7"/>
      <c r="AB18" s="7"/>
      <c r="AC18" s="7"/>
      <c r="AD18" s="7"/>
      <c r="AE18" s="7"/>
      <c r="AF18" s="7"/>
      <c r="AG18" s="7"/>
      <c r="AH18" s="7"/>
      <c r="AI18" s="7"/>
      <c r="AJ18" s="7"/>
      <c r="AK18" s="7"/>
      <c r="AL18" s="7"/>
      <c r="AM18" s="7"/>
      <c r="AN18" s="7"/>
      <c r="AO18" s="7"/>
      <c r="AP18" s="7"/>
      <c r="AQ18" s="7"/>
      <c r="AR18" s="7"/>
      <c r="AS18" s="7"/>
      <c r="AT18" s="7"/>
      <c r="AU18" s="7"/>
      <c r="AV18" s="7"/>
      <c r="AW18" s="7"/>
      <c r="AX18" s="7"/>
      <c r="AY18" s="7"/>
      <c r="AZ18" s="7"/>
    </row>
    <row r="19" spans="1:53">
      <c r="A19" s="7"/>
      <c r="B19" s="2"/>
      <c r="C19" s="152"/>
      <c r="D19" s="156"/>
      <c r="E19" s="157" t="s">
        <v>24</v>
      </c>
      <c r="F19" s="158"/>
      <c r="G19" s="155">
        <f t="shared" si="4"/>
        <v>0</v>
      </c>
      <c r="H19" s="163"/>
      <c r="I19" s="147"/>
      <c r="J19" s="216"/>
      <c r="K19" s="156">
        <v>1300000</v>
      </c>
      <c r="L19" s="157" t="s">
        <v>24</v>
      </c>
      <c r="M19" s="158">
        <v>4099999</v>
      </c>
      <c r="N19" s="155">
        <f>IF(AND(K19="",M19=""),0,IF(O2&lt;=20000000,0,IF(K19="",IF(O3&lt;=M19,1,0),IF(M19="",IF(O3&gt;=K19,1,0),IF(AND(O3&gt;=K19,O3&lt;=M19),1,0)))))</f>
        <v>0</v>
      </c>
      <c r="O19" s="159">
        <f>IF(N19=1,ROUNDDOWN(O3*0.75-75000,0),0)</f>
        <v>0</v>
      </c>
      <c r="P19" s="147"/>
      <c r="Q19" s="216"/>
      <c r="R19" s="156">
        <v>3300000</v>
      </c>
      <c r="S19" s="157" t="s">
        <v>22</v>
      </c>
      <c r="T19" s="158">
        <v>4099999</v>
      </c>
      <c r="U19" s="155">
        <f>IF(AND(R19="",T19=""),0,IF(V2&lt;=20000000,0,IF(R19="",IF(V3&lt;=T19,1,0),IF(T19="",IF(V3&gt;=R19,1,0),IF(AND(V3&gt;=R19,V3&lt;=T19),1,0)))))</f>
        <v>0</v>
      </c>
      <c r="V19" s="159">
        <f>IF(U19=1,ROUNDDOWN(V3*0.75-75000,0),0)</f>
        <v>0</v>
      </c>
      <c r="Y19" s="7"/>
      <c r="Z19" s="7"/>
      <c r="AA19" s="7"/>
      <c r="AB19" s="7"/>
      <c r="AC19" s="7"/>
      <c r="AD19" s="7"/>
      <c r="AE19" s="7"/>
      <c r="AF19" s="7"/>
      <c r="AG19" s="7"/>
      <c r="AH19" s="7"/>
      <c r="AI19" s="7"/>
      <c r="AJ19" s="7"/>
      <c r="AK19" s="7"/>
      <c r="AL19" s="7"/>
      <c r="AM19" s="7"/>
      <c r="AN19" s="7"/>
      <c r="AO19" s="7"/>
      <c r="AP19" s="7"/>
      <c r="AQ19" s="7"/>
      <c r="AR19" s="7"/>
      <c r="AS19" s="7"/>
      <c r="AT19" s="7"/>
      <c r="AU19" s="7"/>
      <c r="AV19" s="7"/>
      <c r="AW19" s="7"/>
      <c r="AX19" s="7"/>
      <c r="AY19" s="7"/>
      <c r="AZ19" s="7"/>
    </row>
    <row r="20" spans="1:53">
      <c r="A20" s="7"/>
      <c r="B20" s="2"/>
      <c r="C20" s="152"/>
      <c r="D20" s="156"/>
      <c r="E20" s="157" t="s">
        <v>22</v>
      </c>
      <c r="F20" s="158"/>
      <c r="G20" s="155">
        <f t="shared" si="4"/>
        <v>0</v>
      </c>
      <c r="H20" s="163"/>
      <c r="I20" s="147"/>
      <c r="J20" s="216"/>
      <c r="K20" s="156">
        <v>4100000</v>
      </c>
      <c r="L20" s="157" t="s">
        <v>22</v>
      </c>
      <c r="M20" s="158">
        <v>7699999</v>
      </c>
      <c r="N20" s="155">
        <f>IF(AND(K20="",M20=""),0,IF(O2&lt;=20000000,0,IF(K20="",IF(O3&lt;=M20,1,0),IF(M20="",IF(O3&gt;=K20,1,0),IF(AND(O3&gt;=K20,O3&lt;=M20),1,0)))))</f>
        <v>0</v>
      </c>
      <c r="O20" s="159">
        <f>IF(N20=1,ROUNDDOWN(O3*0.85-485000,0),0)</f>
        <v>0</v>
      </c>
      <c r="P20" s="147"/>
      <c r="Q20" s="216"/>
      <c r="R20" s="156">
        <v>4100000</v>
      </c>
      <c r="S20" s="157" t="s">
        <v>24</v>
      </c>
      <c r="T20" s="158">
        <v>7699999</v>
      </c>
      <c r="U20" s="155">
        <f>IF(AND(R20="",T20=""),0,IF(V2&lt;=20000000,0,IF(R20="",IF(V3&lt;=T20,1,0),IF(T20="",IF(V3&gt;=R20,1,0),IF(AND(V3&gt;=R20,V3&lt;=T20),1,0)))))</f>
        <v>0</v>
      </c>
      <c r="V20" s="159">
        <f>IF(U20=1,ROUNDDOWN(V3*0.85-485000,0),0)</f>
        <v>0</v>
      </c>
      <c r="Y20" s="7"/>
      <c r="Z20" s="7"/>
      <c r="AA20" s="7"/>
      <c r="AB20" s="7"/>
      <c r="AC20" s="7"/>
      <c r="AD20" s="7"/>
      <c r="AE20" s="7"/>
      <c r="AF20" s="7"/>
      <c r="AG20" s="7"/>
      <c r="AH20" s="7"/>
      <c r="AI20" s="7"/>
      <c r="AJ20" s="7"/>
      <c r="AK20" s="7"/>
      <c r="AL20" s="7"/>
      <c r="AM20" s="7"/>
      <c r="AN20" s="7"/>
      <c r="AO20" s="7"/>
      <c r="AP20" s="7"/>
      <c r="AQ20" s="7"/>
      <c r="AR20" s="7"/>
      <c r="AS20" s="7"/>
      <c r="AT20" s="7"/>
      <c r="AU20" s="7"/>
      <c r="AV20" s="7"/>
      <c r="AW20" s="7"/>
      <c r="AX20" s="7"/>
      <c r="AY20" s="7"/>
      <c r="AZ20" s="7"/>
    </row>
    <row r="21" spans="1:53">
      <c r="A21" s="7"/>
      <c r="B21" s="2"/>
      <c r="C21" s="152"/>
      <c r="D21" s="156"/>
      <c r="E21" s="157" t="s">
        <v>22</v>
      </c>
      <c r="F21" s="158"/>
      <c r="G21" s="155">
        <f t="shared" si="4"/>
        <v>0</v>
      </c>
      <c r="H21" s="163"/>
      <c r="I21" s="147"/>
      <c r="J21" s="216"/>
      <c r="K21" s="156">
        <v>7700000</v>
      </c>
      <c r="L21" s="157" t="s">
        <v>22</v>
      </c>
      <c r="M21" s="158">
        <v>9999999</v>
      </c>
      <c r="N21" s="155">
        <f>IF(AND(K21="",M21=""),0,IF(O2&lt;=20000000,0,IF(K21="",IF(O3&lt;=M21,1,0),IF(M21="",IF(O3&gt;=K21,1,0),IF(AND(O3&gt;=K21,O3&lt;=M21),1,0)))))</f>
        <v>0</v>
      </c>
      <c r="O21" s="159">
        <f>IF(N21=1,ROUNDDOWN(O3*0.95-1255000,0),0)</f>
        <v>0</v>
      </c>
      <c r="P21" s="147"/>
      <c r="Q21" s="216"/>
      <c r="R21" s="156">
        <v>7700000</v>
      </c>
      <c r="S21" s="157" t="s">
        <v>24</v>
      </c>
      <c r="T21" s="158">
        <v>9999999</v>
      </c>
      <c r="U21" s="155">
        <f>IF(AND(R21="",T21=""),0,IF(V2&lt;=20000000,0,IF(R21="",IF(V3&lt;=T21,1,0),IF(T21="",IF(V3&gt;=R21,1,0),IF(AND(V3&gt;=R21,V3&lt;=T21),1,0)))))</f>
        <v>0</v>
      </c>
      <c r="V21" s="159">
        <f>IF(U21=1,ROUNDDOWN(V3*0.95-1255000,0),0)</f>
        <v>0</v>
      </c>
      <c r="Y21" s="7"/>
      <c r="Z21" s="7"/>
      <c r="AA21" s="7"/>
      <c r="AB21" s="7"/>
      <c r="AC21" s="7"/>
      <c r="AD21" s="7"/>
      <c r="AE21" s="7"/>
      <c r="AF21" s="7"/>
      <c r="AG21" s="7"/>
      <c r="AH21" s="7"/>
      <c r="AI21" s="7"/>
      <c r="AJ21" s="7"/>
      <c r="AK21" s="7"/>
      <c r="AL21" s="7"/>
      <c r="AM21" s="7"/>
      <c r="AN21" s="7"/>
      <c r="AO21" s="7"/>
      <c r="AP21" s="7"/>
      <c r="AQ21" s="7"/>
      <c r="AR21" s="7"/>
      <c r="AS21" s="7"/>
      <c r="AT21" s="7"/>
      <c r="AU21" s="7"/>
      <c r="AV21" s="7"/>
      <c r="AW21" s="7"/>
      <c r="AX21" s="7"/>
      <c r="AY21" s="7"/>
      <c r="AZ21" s="7"/>
    </row>
    <row r="22" spans="1:53">
      <c r="A22" s="7"/>
      <c r="B22" s="2"/>
      <c r="C22" s="152"/>
      <c r="D22" s="156"/>
      <c r="E22" s="157" t="s">
        <v>22</v>
      </c>
      <c r="F22" s="158"/>
      <c r="G22" s="155">
        <f t="shared" si="4"/>
        <v>0</v>
      </c>
      <c r="H22" s="163"/>
      <c r="I22" s="147"/>
      <c r="J22" s="216"/>
      <c r="K22" s="156">
        <v>10000000</v>
      </c>
      <c r="L22" s="157" t="s">
        <v>22</v>
      </c>
      <c r="M22" s="158"/>
      <c r="N22" s="155">
        <f>IF(AND(K22="",M22=""),0,IF(O2&lt;=20000000,0,IF(K22="",IF(O3&lt;=M22,1,0),IF(M22="",IF(O3&gt;=K22,1,0),IF(AND(O3&gt;=K22,O3&lt;=M22),1,0)))))</f>
        <v>0</v>
      </c>
      <c r="O22" s="159">
        <f>IF(N22=1,O3-1755000,0)</f>
        <v>0</v>
      </c>
      <c r="P22" s="147"/>
      <c r="Q22" s="216"/>
      <c r="R22" s="156">
        <v>10000000</v>
      </c>
      <c r="S22" s="157" t="s">
        <v>22</v>
      </c>
      <c r="T22" s="158"/>
      <c r="U22" s="155">
        <f>IF(AND(R22="",T22=""),0,IF(V2&lt;=20000000,0,IF(R22="",IF(V3&lt;=T22,1,0),IF(T22="",IF(V3&gt;=R22,1,0),IF(AND(V3&gt;=R22,V3&lt;=T22),1,0)))))</f>
        <v>0</v>
      </c>
      <c r="V22" s="159">
        <f>IF(U22=1,V3-1755000,0)</f>
        <v>0</v>
      </c>
      <c r="Y22" s="7"/>
      <c r="Z22" s="7"/>
      <c r="AA22" s="7"/>
      <c r="AB22" s="7"/>
      <c r="AC22" s="7"/>
      <c r="AD22" s="7"/>
      <c r="AE22" s="7"/>
      <c r="AF22" s="7"/>
      <c r="AG22" s="7"/>
      <c r="AH22" s="7"/>
      <c r="AI22" s="7"/>
      <c r="AJ22" s="7"/>
      <c r="AK22" s="7"/>
      <c r="AL22" s="7"/>
      <c r="AM22" s="7"/>
      <c r="AN22" s="7"/>
      <c r="AO22" s="7"/>
      <c r="AP22" s="7"/>
      <c r="AQ22" s="7"/>
      <c r="AR22" s="7"/>
      <c r="AS22" s="7"/>
      <c r="AT22" s="7"/>
      <c r="AU22" s="7"/>
      <c r="AV22" s="7"/>
      <c r="AW22" s="7"/>
      <c r="AX22" s="7"/>
      <c r="AY22" s="7"/>
      <c r="AZ22" s="7"/>
    </row>
    <row r="23" spans="1:53">
      <c r="A23" s="7"/>
      <c r="B23" s="2"/>
      <c r="C23" s="152"/>
      <c r="D23" s="156"/>
      <c r="E23" s="157" t="s">
        <v>22</v>
      </c>
      <c r="F23" s="158"/>
      <c r="G23" s="155">
        <f t="shared" si="4"/>
        <v>0</v>
      </c>
      <c r="H23" s="159"/>
      <c r="I23" s="147"/>
      <c r="J23" s="216"/>
      <c r="K23" s="156"/>
      <c r="L23" s="157" t="s">
        <v>22</v>
      </c>
      <c r="M23" s="158"/>
      <c r="N23" s="155"/>
      <c r="O23" s="159"/>
      <c r="P23" s="147"/>
      <c r="Q23" s="216"/>
      <c r="R23" s="156"/>
      <c r="S23" s="157" t="s">
        <v>22</v>
      </c>
      <c r="T23" s="158"/>
      <c r="U23" s="155"/>
      <c r="V23" s="159"/>
      <c r="Y23" s="7"/>
      <c r="Z23" s="7"/>
      <c r="AA23" s="7"/>
      <c r="AB23" s="7"/>
      <c r="AC23" s="7"/>
      <c r="AD23" s="7"/>
      <c r="AE23" s="7"/>
      <c r="AF23" s="7"/>
      <c r="AG23" s="7"/>
      <c r="AH23" s="7"/>
      <c r="AI23" s="7"/>
      <c r="AJ23" s="7"/>
      <c r="AK23" s="7"/>
      <c r="AL23" s="7"/>
      <c r="AM23" s="7"/>
      <c r="AN23" s="7"/>
      <c r="AO23" s="7"/>
      <c r="AP23" s="7"/>
      <c r="AQ23" s="7"/>
      <c r="AR23" s="7"/>
      <c r="AS23" s="7"/>
      <c r="AT23" s="7"/>
      <c r="AU23" s="7"/>
      <c r="AV23" s="7"/>
      <c r="AW23" s="7"/>
      <c r="AX23" s="7"/>
      <c r="AY23" s="7"/>
      <c r="AZ23" s="7"/>
    </row>
    <row r="24" spans="1:53">
      <c r="A24" s="7"/>
      <c r="B24" s="2"/>
      <c r="C24" s="152"/>
      <c r="D24" s="156"/>
      <c r="E24" s="157" t="s">
        <v>24</v>
      </c>
      <c r="F24" s="158"/>
      <c r="G24" s="155">
        <f t="shared" si="4"/>
        <v>0</v>
      </c>
      <c r="H24" s="159"/>
      <c r="I24" s="147"/>
      <c r="J24" s="216"/>
      <c r="K24" s="156"/>
      <c r="L24" s="157" t="s">
        <v>22</v>
      </c>
      <c r="M24" s="158"/>
      <c r="N24" s="155"/>
      <c r="O24" s="159"/>
      <c r="P24" s="147"/>
      <c r="Q24" s="216"/>
      <c r="R24" s="156"/>
      <c r="S24" s="157" t="s">
        <v>22</v>
      </c>
      <c r="T24" s="158"/>
      <c r="U24" s="155"/>
      <c r="V24" s="159"/>
      <c r="Y24" s="7"/>
      <c r="Z24" s="7"/>
      <c r="AA24" s="7"/>
      <c r="AB24" s="7"/>
      <c r="AC24" s="7"/>
      <c r="AD24" s="7"/>
      <c r="AE24" s="7"/>
      <c r="AF24" s="7"/>
      <c r="AG24" s="7"/>
      <c r="AH24" s="7"/>
      <c r="AI24" s="7"/>
      <c r="AJ24" s="7"/>
      <c r="AK24" s="7"/>
      <c r="AL24" s="7"/>
      <c r="AM24" s="7"/>
      <c r="AN24" s="7"/>
      <c r="AO24" s="7"/>
      <c r="AP24" s="7"/>
      <c r="AQ24" s="7"/>
      <c r="AR24" s="7"/>
      <c r="AS24" s="7"/>
      <c r="AT24" s="7"/>
      <c r="AU24" s="7"/>
      <c r="AV24" s="7"/>
      <c r="AW24" s="7"/>
      <c r="AX24" s="7"/>
      <c r="AY24" s="7"/>
      <c r="AZ24" s="7"/>
    </row>
    <row r="25" spans="1:53">
      <c r="A25" s="7"/>
      <c r="B25" s="16"/>
      <c r="C25" s="212" t="s">
        <v>20</v>
      </c>
      <c r="D25" s="213"/>
      <c r="E25" s="213"/>
      <c r="F25" s="213"/>
      <c r="G25" s="213"/>
      <c r="H25" s="151">
        <f>SUM(H5:H24)</f>
        <v>0</v>
      </c>
      <c r="I25" s="147"/>
      <c r="J25" s="214" t="s">
        <v>21</v>
      </c>
      <c r="K25" s="215"/>
      <c r="L25" s="215"/>
      <c r="M25" s="215"/>
      <c r="N25" s="212"/>
      <c r="O25" s="151">
        <f>SUM(O5:O24)</f>
        <v>0</v>
      </c>
      <c r="P25" s="147"/>
      <c r="Q25" s="214" t="s">
        <v>21</v>
      </c>
      <c r="R25" s="215"/>
      <c r="S25" s="215"/>
      <c r="T25" s="215"/>
      <c r="U25" s="212"/>
      <c r="V25" s="151">
        <f>SUM(V5:V24)</f>
        <v>0</v>
      </c>
      <c r="Y25" s="7"/>
      <c r="Z25" s="7"/>
      <c r="AA25" s="7"/>
      <c r="AB25" s="7"/>
      <c r="AC25" s="7"/>
      <c r="AD25" s="7"/>
      <c r="AE25" s="7"/>
      <c r="AF25" s="7"/>
      <c r="AG25" s="7"/>
      <c r="AH25" s="7"/>
      <c r="AI25" s="7"/>
      <c r="AJ25" s="7"/>
      <c r="AK25" s="7"/>
      <c r="AL25" s="7"/>
      <c r="AM25" s="7"/>
      <c r="AN25" s="7"/>
      <c r="AO25" s="7"/>
      <c r="AP25" s="7"/>
      <c r="AQ25" s="7"/>
      <c r="AR25" s="7"/>
      <c r="AS25" s="7"/>
      <c r="AT25" s="7"/>
      <c r="AU25" s="7"/>
      <c r="AV25" s="7"/>
      <c r="AW25" s="7"/>
      <c r="AX25" s="7"/>
      <c r="AY25" s="7"/>
      <c r="AZ25" s="7"/>
    </row>
    <row r="26" spans="1:53" ht="14.25" customHeight="1">
      <c r="C26" s="164"/>
      <c r="D26" s="165"/>
      <c r="E26" s="165"/>
      <c r="F26" s="165"/>
      <c r="G26" s="165"/>
      <c r="H26" s="165"/>
      <c r="I26" s="165"/>
      <c r="J26" s="165"/>
      <c r="K26" s="165"/>
      <c r="L26" s="165"/>
      <c r="M26" s="165"/>
      <c r="N26" s="165"/>
      <c r="O26" s="165"/>
      <c r="P26" s="165"/>
      <c r="Q26" s="165"/>
      <c r="R26" s="165"/>
      <c r="S26" s="165"/>
      <c r="T26" s="165"/>
      <c r="U26" s="165"/>
      <c r="V26" s="165"/>
      <c r="Y26" s="7"/>
      <c r="Z26" s="7"/>
      <c r="AA26" s="7"/>
      <c r="AB26" s="7"/>
      <c r="AC26" s="7"/>
      <c r="AD26" s="7"/>
      <c r="AE26" s="7"/>
      <c r="AF26" s="7"/>
      <c r="AG26" s="7"/>
      <c r="AH26" s="7"/>
      <c r="AI26" s="7"/>
      <c r="AJ26" s="7"/>
      <c r="AK26" s="7"/>
      <c r="AL26" s="7"/>
      <c r="AM26" s="7"/>
      <c r="AN26" s="7"/>
      <c r="AO26" s="7"/>
      <c r="AP26" s="7"/>
      <c r="AQ26" s="7"/>
      <c r="AR26" s="7"/>
      <c r="AS26" s="7"/>
      <c r="AT26" s="7"/>
      <c r="AU26" s="7"/>
      <c r="AV26" s="7"/>
      <c r="AW26" s="7"/>
      <c r="AX26" s="7"/>
      <c r="AY26" s="7"/>
      <c r="AZ26" s="7"/>
    </row>
    <row r="27" spans="1:53">
      <c r="A27" s="7"/>
      <c r="B27" s="7" t="s">
        <v>28</v>
      </c>
      <c r="C27" s="144"/>
      <c r="D27" s="145" t="str">
        <f>IF(C29=0,"空欄",Z33)</f>
        <v>空欄</v>
      </c>
      <c r="E27" s="146" t="s">
        <v>29</v>
      </c>
      <c r="F27" s="146"/>
      <c r="G27" s="146"/>
      <c r="H27" s="146"/>
      <c r="I27" s="147"/>
      <c r="J27" s="147"/>
      <c r="K27" s="148" t="s">
        <v>14</v>
      </c>
      <c r="L27" s="147"/>
      <c r="M27" s="149"/>
      <c r="N27" s="150" t="s">
        <v>15</v>
      </c>
      <c r="O27" s="151">
        <f>H50+C32</f>
        <v>0</v>
      </c>
      <c r="P27" s="147"/>
      <c r="Q27" s="147"/>
      <c r="R27" s="147" t="s">
        <v>16</v>
      </c>
      <c r="S27" s="147"/>
      <c r="T27" s="149"/>
      <c r="U27" s="150" t="s">
        <v>15</v>
      </c>
      <c r="V27" s="151">
        <f>H50+C31</f>
        <v>0</v>
      </c>
      <c r="Y27" s="7"/>
      <c r="Z27" s="7"/>
      <c r="AA27" s="7"/>
      <c r="AB27" s="7"/>
      <c r="AC27" s="7"/>
      <c r="AD27" s="7"/>
      <c r="AE27" s="7"/>
      <c r="AF27" s="7"/>
      <c r="AG27" s="7"/>
      <c r="AH27" s="7"/>
      <c r="AI27" s="7"/>
      <c r="AJ27" s="7"/>
      <c r="AK27" s="7"/>
      <c r="AL27" s="7"/>
      <c r="AM27" s="7"/>
      <c r="AN27" s="7"/>
      <c r="AO27" s="7"/>
      <c r="AP27" s="7"/>
      <c r="AQ27" s="7"/>
      <c r="AR27" s="7"/>
      <c r="AS27" s="7"/>
      <c r="AT27" s="7"/>
      <c r="AU27" s="7"/>
      <c r="AV27" s="7"/>
      <c r="AW27" s="7"/>
      <c r="AX27" s="7"/>
      <c r="AY27" s="7"/>
      <c r="AZ27" s="7"/>
    </row>
    <row r="28" spans="1:53" ht="13.5" customHeight="1">
      <c r="A28" s="7" t="s">
        <v>36</v>
      </c>
      <c r="B28" s="16"/>
      <c r="C28" s="152" t="s">
        <v>131</v>
      </c>
      <c r="D28" s="213" t="s">
        <v>17</v>
      </c>
      <c r="E28" s="213"/>
      <c r="F28" s="213"/>
      <c r="G28" s="213"/>
      <c r="H28" s="153">
        <f>C30</f>
        <v>0</v>
      </c>
      <c r="I28" s="147"/>
      <c r="J28" s="217" t="s">
        <v>33</v>
      </c>
      <c r="K28" s="213" t="s">
        <v>31</v>
      </c>
      <c r="L28" s="213"/>
      <c r="M28" s="213"/>
      <c r="N28" s="213"/>
      <c r="O28" s="154">
        <f>IF(D27&lt;65,C31,0)</f>
        <v>0</v>
      </c>
      <c r="P28" s="147"/>
      <c r="Q28" s="216" t="s">
        <v>34</v>
      </c>
      <c r="R28" s="213" t="s">
        <v>31</v>
      </c>
      <c r="S28" s="213"/>
      <c r="T28" s="213"/>
      <c r="U28" s="213"/>
      <c r="V28" s="154">
        <f>IF(D27&gt;=65,C31,0)</f>
        <v>0</v>
      </c>
      <c r="Y28" s="7"/>
      <c r="Z28" s="7"/>
      <c r="AA28" s="7"/>
      <c r="AB28" s="7"/>
      <c r="AC28" s="7"/>
      <c r="AD28" s="7"/>
      <c r="AE28" s="7"/>
      <c r="AF28" s="7"/>
      <c r="AG28" s="7"/>
      <c r="AH28" s="7"/>
      <c r="AI28" s="7"/>
      <c r="AJ28" s="7"/>
      <c r="AK28" s="7"/>
      <c r="AL28" s="7"/>
      <c r="AM28" s="7"/>
      <c r="AN28" s="7"/>
      <c r="AO28" s="7"/>
      <c r="AP28" s="7"/>
      <c r="AQ28" s="7"/>
      <c r="AR28" s="7"/>
      <c r="AS28" s="7"/>
      <c r="AT28" s="7"/>
      <c r="AU28" s="7"/>
      <c r="AV28" s="7"/>
      <c r="AW28" s="7"/>
      <c r="AX28" s="7"/>
      <c r="AY28" s="7"/>
      <c r="AZ28" s="7"/>
    </row>
    <row r="29" spans="1:53" ht="14.25" thickBot="1">
      <c r="A29" s="7"/>
      <c r="B29" s="2" t="s">
        <v>44</v>
      </c>
      <c r="C29" s="152">
        <f>簡易試算シート!C10</f>
        <v>0</v>
      </c>
      <c r="D29" s="215" t="s">
        <v>18</v>
      </c>
      <c r="E29" s="215"/>
      <c r="F29" s="212"/>
      <c r="G29" s="155" t="s">
        <v>19</v>
      </c>
      <c r="H29" s="155" t="s">
        <v>20</v>
      </c>
      <c r="I29" s="147"/>
      <c r="J29" s="216"/>
      <c r="K29" s="215" t="s">
        <v>18</v>
      </c>
      <c r="L29" s="215"/>
      <c r="M29" s="212"/>
      <c r="N29" s="155" t="s">
        <v>19</v>
      </c>
      <c r="O29" s="155" t="s">
        <v>20</v>
      </c>
      <c r="P29" s="147"/>
      <c r="Q29" s="216"/>
      <c r="R29" s="215"/>
      <c r="S29" s="215"/>
      <c r="T29" s="212"/>
      <c r="U29" s="155" t="s">
        <v>19</v>
      </c>
      <c r="V29" s="155" t="s">
        <v>21</v>
      </c>
      <c r="Y29" s="7"/>
      <c r="Z29" s="7"/>
      <c r="AA29" s="7"/>
      <c r="AB29" s="7"/>
      <c r="AC29" s="7"/>
      <c r="AD29" s="7"/>
      <c r="AE29" s="7"/>
      <c r="AF29" s="7"/>
      <c r="AG29" s="7"/>
      <c r="AH29" s="7"/>
      <c r="AI29" s="7"/>
      <c r="AJ29" s="7"/>
      <c r="AK29" s="7"/>
      <c r="AL29" s="7"/>
      <c r="AM29" s="7"/>
      <c r="AN29" s="7"/>
      <c r="AO29" s="7"/>
      <c r="AP29" s="7"/>
      <c r="AQ29" s="7"/>
      <c r="AR29" s="7"/>
      <c r="AS29" s="7"/>
      <c r="AT29" s="7"/>
      <c r="AU29" s="7"/>
      <c r="AV29" s="7"/>
      <c r="AW29" s="7"/>
      <c r="AX29" s="7"/>
      <c r="AY29" s="7"/>
      <c r="AZ29" s="7"/>
    </row>
    <row r="30" spans="1:53">
      <c r="A30" s="7"/>
      <c r="B30" s="2" t="s">
        <v>45</v>
      </c>
      <c r="C30" s="152">
        <f>簡易試算シート!D10</f>
        <v>0</v>
      </c>
      <c r="D30" s="11"/>
      <c r="E30" s="12" t="s">
        <v>22</v>
      </c>
      <c r="F30" s="13">
        <v>650999</v>
      </c>
      <c r="G30" s="155">
        <f>IF(AND(D30="",F30=""),0,IF(D30="",IF($H$28&lt;=F30,1,0),IF(F30="",IF($H$28&gt;=D30,1,0),IF(AND($H$28&gt;=D30,$H$28&lt;=F30),1,0))))</f>
        <v>1</v>
      </c>
      <c r="H30" s="159">
        <f>IF(G30=1,0,0)</f>
        <v>0</v>
      </c>
      <c r="I30" s="147"/>
      <c r="J30" s="216"/>
      <c r="K30" s="160"/>
      <c r="L30" s="157" t="s">
        <v>23</v>
      </c>
      <c r="M30" s="161"/>
      <c r="N30" s="155"/>
      <c r="O30" s="159"/>
      <c r="P30" s="147"/>
      <c r="Q30" s="216"/>
      <c r="R30" s="156"/>
      <c r="S30" s="157" t="s">
        <v>23</v>
      </c>
      <c r="T30" s="158"/>
      <c r="U30" s="155"/>
      <c r="V30" s="159"/>
      <c r="Y30" s="45"/>
      <c r="Z30" s="46" t="s">
        <v>49</v>
      </c>
      <c r="AA30" s="46" t="s">
        <v>50</v>
      </c>
      <c r="AB30" s="47" t="s">
        <v>51</v>
      </c>
      <c r="AC30" s="47" t="s">
        <v>52</v>
      </c>
      <c r="AD30" s="47" t="s">
        <v>53</v>
      </c>
      <c r="AE30" s="47" t="s">
        <v>54</v>
      </c>
      <c r="AF30" s="47" t="s">
        <v>55</v>
      </c>
      <c r="AG30" s="47" t="s">
        <v>56</v>
      </c>
      <c r="AH30" s="47" t="s">
        <v>57</v>
      </c>
      <c r="AI30" s="47" t="s">
        <v>58</v>
      </c>
      <c r="AJ30" s="47" t="s">
        <v>59</v>
      </c>
      <c r="AK30" s="47" t="s">
        <v>60</v>
      </c>
      <c r="AL30" s="47" t="s">
        <v>61</v>
      </c>
      <c r="AM30" s="47" t="s">
        <v>62</v>
      </c>
      <c r="AN30" s="47" t="s">
        <v>63</v>
      </c>
      <c r="AO30" s="47" t="s">
        <v>64</v>
      </c>
      <c r="AP30" s="222" t="s">
        <v>65</v>
      </c>
      <c r="AQ30" s="222"/>
      <c r="AR30" s="47"/>
      <c r="AS30" s="48" t="s">
        <v>66</v>
      </c>
      <c r="AT30" s="48" t="s">
        <v>67</v>
      </c>
      <c r="AU30" s="47"/>
      <c r="AV30" s="47"/>
      <c r="AW30" s="47"/>
      <c r="AX30" s="49" t="s">
        <v>68</v>
      </c>
      <c r="AY30" s="49" t="s">
        <v>69</v>
      </c>
      <c r="AZ30" s="49" t="s">
        <v>70</v>
      </c>
      <c r="BA30" s="176" t="s">
        <v>202</v>
      </c>
    </row>
    <row r="31" spans="1:53">
      <c r="A31" s="7"/>
      <c r="B31" s="2" t="s">
        <v>46</v>
      </c>
      <c r="C31" s="152">
        <f>簡易試算シート!E10</f>
        <v>0</v>
      </c>
      <c r="D31" s="11">
        <v>651000</v>
      </c>
      <c r="E31" s="12" t="s">
        <v>22</v>
      </c>
      <c r="F31" s="13">
        <v>1899999</v>
      </c>
      <c r="G31" s="155">
        <f>IF(AND(D31="",F31=""),0,IF(D31="",IF($H$28&lt;=F31,1,0),IF(F31="",IF($H$28&gt;=D31,1,0),IF(AND($H$28&gt;=D31,$H$28&lt;=F31),1,0))))</f>
        <v>0</v>
      </c>
      <c r="H31" s="167">
        <f>IF(G31=1,H28-650000,0)</f>
        <v>0</v>
      </c>
      <c r="I31" s="147"/>
      <c r="J31" s="216"/>
      <c r="K31" s="156"/>
      <c r="L31" s="157" t="s">
        <v>22</v>
      </c>
      <c r="M31" s="158">
        <v>1299999</v>
      </c>
      <c r="N31" s="155">
        <f>IF(AND(K31="",M31=""),0,IF(O27&gt;10000000,0,IF(K31="",IF(O28&lt;=M31,1,0),IF(M31="",IF(O28&gt;=K31,1,0),IF(AND(O28&gt;=K31,O28&lt;=M31),1,0)))))</f>
        <v>1</v>
      </c>
      <c r="O31" s="159">
        <f>IF(N31=1,IF(O28-600000&gt;0,O28-600000,0),0)</f>
        <v>0</v>
      </c>
      <c r="P31" s="147"/>
      <c r="Q31" s="216"/>
      <c r="R31" s="156"/>
      <c r="S31" s="157" t="s">
        <v>22</v>
      </c>
      <c r="T31" s="158">
        <v>3299999</v>
      </c>
      <c r="U31" s="155">
        <f>IF(AND(R31="",T31=""),0,IF(V27&gt;10000000,0,IF(R31="",IF(V28&lt;=T31,1,0),IF(T31="",IF(V28&gt;=R31,1,0),IF(AND(V28&gt;=R31,V28&lt;=T31),1,0)))))</f>
        <v>1</v>
      </c>
      <c r="V31" s="159">
        <f>IF(U31=1,IF(V28-1100000&gt;0,V28-1100000,0),0)</f>
        <v>0</v>
      </c>
      <c r="X31" t="s">
        <v>128</v>
      </c>
      <c r="Y31" s="50" t="s">
        <v>71</v>
      </c>
      <c r="Z31" s="51">
        <f>DATE(YEAR(C29)+40,MONTH(C29),DAY(C29))</f>
        <v>14610</v>
      </c>
      <c r="AA31" s="52">
        <f>DATE(YEAR(C29)+65,MONTH(C29),DAY(C29)-1)</f>
        <v>23741</v>
      </c>
      <c r="AB31" s="65">
        <f>IF(AND($Z31&lt;=AO$4,AO$3&lt;$AA31,AB32=1),1,IF(AND($Z31&lt;=AO$4,AO$3&lt;$AA31,AB32=2),2,0))</f>
        <v>0</v>
      </c>
      <c r="AC31" s="65">
        <f t="shared" ref="AC31:AG31" si="5">IF(AND($Z31&lt;=AP$4,AP$3&lt;$AA31,AC32=1),1,IF(AND($Z31&lt;=AP$4,AP$3&lt;$AA31,AC32=2),2,0))</f>
        <v>0</v>
      </c>
      <c r="AD31" s="65">
        <f t="shared" si="5"/>
        <v>0</v>
      </c>
      <c r="AE31" s="65">
        <f t="shared" si="5"/>
        <v>0</v>
      </c>
      <c r="AF31" s="65">
        <f t="shared" si="5"/>
        <v>0</v>
      </c>
      <c r="AG31" s="65">
        <f t="shared" si="5"/>
        <v>0</v>
      </c>
      <c r="AH31" s="65">
        <f t="shared" ref="AH31" si="6">IF(AND($Z31&lt;=AU$4,AU$3&lt;$AA31,AH32=1),1,IF(AND($Z31&lt;=AU$4,AU$3&lt;$AA31,AH32=2),2,0))</f>
        <v>0</v>
      </c>
      <c r="AI31" s="65">
        <f t="shared" ref="AI31" si="7">IF(AND($Z31&lt;=AV$4,AV$3&lt;$AA31,AI32=1),1,IF(AND($Z31&lt;=AV$4,AV$3&lt;$AA31,AI32=2),2,0))</f>
        <v>0</v>
      </c>
      <c r="AJ31" s="65">
        <f t="shared" ref="AJ31" si="8">IF(AND($Z31&lt;=AW$4,AW$3&lt;$AA31,AJ32=1),1,IF(AND($Z31&lt;=AW$4,AW$3&lt;$AA31,AJ32=2),2,0))</f>
        <v>0</v>
      </c>
      <c r="AK31" s="65">
        <f>IF(AND($Z31&lt;=AX$4,AX$3&lt;$AA31,AK32=1),1,IF(AND($Z31&lt;=AX$4,AX$3&lt;$AA31,AK32=2),2,0))</f>
        <v>0</v>
      </c>
      <c r="AL31" s="65">
        <f t="shared" ref="AL31" si="9">IF(AND($Z31&lt;=AY$4,AY$3&lt;$AA31,AL32=1),1,IF(AND($Z31&lt;=AY$4,AY$3&lt;$AA31,AL32=2),2,0))</f>
        <v>0</v>
      </c>
      <c r="AM31" s="65">
        <f t="shared" ref="AM31" si="10">IF(AND($Z31&lt;=AZ$4,AZ$3&lt;$AA31,AM32=1),1,IF(AND($Z31&lt;=AZ$4,AZ$3&lt;$AA31,AM32=2),2,0))</f>
        <v>0</v>
      </c>
      <c r="AN31" s="54">
        <f>COUNTIF(AB31:AM31,1)</f>
        <v>0</v>
      </c>
      <c r="AO31" s="55">
        <f>IF(AN31&gt;0,1,0)</f>
        <v>0</v>
      </c>
      <c r="AP31" s="20" t="s">
        <v>72</v>
      </c>
      <c r="AQ31" s="71"/>
      <c r="AR31" s="20" t="s">
        <v>73</v>
      </c>
      <c r="AS31" s="37">
        <f>H50</f>
        <v>0</v>
      </c>
      <c r="AT31" s="43">
        <f>MAX(IF(AND(Z34=1,Z35=0),AR35+AP34+AS33+IF(AS34&gt;150000,AS34-150000,0),IF(AND(Z34=1,Z35=1),AS35+AP34+AS33+IF(AS34&gt;150000,AS34-150000,0),0)),0)</f>
        <v>0</v>
      </c>
      <c r="AU31" s="56"/>
      <c r="AV31" s="56"/>
      <c r="AW31" s="57" t="s">
        <v>74</v>
      </c>
      <c r="AX31" s="75">
        <f>(AN32-AN34)/12*AU34*$AG$2</f>
        <v>0</v>
      </c>
      <c r="AY31" s="75">
        <f>(AN32-AN34)/12*AU34*$AH$2</f>
        <v>0</v>
      </c>
      <c r="AZ31" s="75">
        <f>IF(AO31=0,0,(AN31-AN33)/12*AU34*$AI$2)</f>
        <v>0</v>
      </c>
      <c r="BA31" s="181">
        <f>(AN32-AN34)/12*AU34*$AE$2</f>
        <v>0</v>
      </c>
    </row>
    <row r="32" spans="1:53">
      <c r="A32" s="7"/>
      <c r="B32" s="2" t="s">
        <v>47</v>
      </c>
      <c r="C32" s="152">
        <f>簡易試算シート!F10</f>
        <v>0</v>
      </c>
      <c r="D32" s="168"/>
      <c r="E32" s="169"/>
      <c r="F32" s="170"/>
      <c r="G32" s="171"/>
      <c r="H32" s="172"/>
      <c r="I32" s="147"/>
      <c r="J32" s="216"/>
      <c r="K32" s="156">
        <v>1300000</v>
      </c>
      <c r="L32" s="157" t="s">
        <v>22</v>
      </c>
      <c r="M32" s="158">
        <v>4099999</v>
      </c>
      <c r="N32" s="155">
        <f>IF(AND(K32="",M32=""),0,IF(O27&gt;10000000,0,IF(K32="",IF(O28&lt;=M32,1,0),IF(M32="",IF(O28&gt;=K32,1,0),IF(AND(O28&gt;=K32,O28&lt;=M32),1,0)))))</f>
        <v>0</v>
      </c>
      <c r="O32" s="159">
        <f>IF(N32=1,ROUNDDOWN(O28*0.75-275000,0),0)</f>
        <v>0</v>
      </c>
      <c r="P32" s="147"/>
      <c r="Q32" s="216"/>
      <c r="R32" s="156">
        <v>3300000</v>
      </c>
      <c r="S32" s="157" t="s">
        <v>22</v>
      </c>
      <c r="T32" s="158">
        <v>4099999</v>
      </c>
      <c r="U32" s="155">
        <f>IF(AND(R32="",T32=""),0,IF(V27&gt;10000000,0,IF(R32="",IF(V28&lt;=T32,1,0),IF(T32="",IF(V28&gt;=R32,1,0),IF(AND(V28&gt;=R32,V28&lt;=T32),1,0)))))</f>
        <v>0</v>
      </c>
      <c r="V32" s="159">
        <f>IF(U32=1,ROUNDDOWN(V28*0.75-275000,0),0)</f>
        <v>0</v>
      </c>
      <c r="Y32" s="50" t="s">
        <v>75</v>
      </c>
      <c r="Z32" s="56"/>
      <c r="AA32" s="56"/>
      <c r="AB32" s="53">
        <f>IF(C29=0,0,IF(C28="有",1,IF(C28="無",2,"有無要選択")))</f>
        <v>0</v>
      </c>
      <c r="AC32" s="53">
        <f>AB32</f>
        <v>0</v>
      </c>
      <c r="AD32" s="53">
        <f>AC32</f>
        <v>0</v>
      </c>
      <c r="AE32" s="53">
        <f t="shared" ref="AE32" si="11">AD32</f>
        <v>0</v>
      </c>
      <c r="AF32" s="53">
        <f t="shared" ref="AF32" si="12">AE32</f>
        <v>0</v>
      </c>
      <c r="AG32" s="53">
        <f t="shared" ref="AG32" si="13">AF32</f>
        <v>0</v>
      </c>
      <c r="AH32" s="53">
        <f t="shared" ref="AH32" si="14">AG32</f>
        <v>0</v>
      </c>
      <c r="AI32" s="53">
        <f t="shared" ref="AI32" si="15">AH32</f>
        <v>0</v>
      </c>
      <c r="AJ32" s="53">
        <f t="shared" ref="AJ32" si="16">AI32</f>
        <v>0</v>
      </c>
      <c r="AK32" s="53">
        <f t="shared" ref="AK32" si="17">AJ32</f>
        <v>0</v>
      </c>
      <c r="AL32" s="53">
        <f t="shared" ref="AL32" si="18">AK32</f>
        <v>0</v>
      </c>
      <c r="AM32" s="53">
        <f>AL32</f>
        <v>0</v>
      </c>
      <c r="AN32" s="54">
        <f>COUNTIF(AB32:AM32,1)</f>
        <v>0</v>
      </c>
      <c r="AO32" s="56"/>
      <c r="AP32" s="22" t="s">
        <v>76</v>
      </c>
      <c r="AQ32" s="72"/>
      <c r="AR32" s="36" t="s">
        <v>77</v>
      </c>
      <c r="AS32" s="35">
        <v>0</v>
      </c>
      <c r="AT32" s="24" t="s">
        <v>78</v>
      </c>
      <c r="AU32" s="42">
        <f>AP34+AP35+AS33+AS34</f>
        <v>0</v>
      </c>
      <c r="AV32" s="56"/>
      <c r="AW32" s="59" t="s">
        <v>79</v>
      </c>
      <c r="AX32" s="70"/>
      <c r="AY32" s="70"/>
      <c r="AZ32" s="70"/>
      <c r="BA32" s="182"/>
    </row>
    <row r="33" spans="1:53">
      <c r="A33" s="7"/>
      <c r="B33" s="16"/>
      <c r="C33" s="166"/>
      <c r="D33" s="168"/>
      <c r="E33" s="169"/>
      <c r="F33" s="170"/>
      <c r="G33" s="171"/>
      <c r="H33" s="172"/>
      <c r="I33" s="147"/>
      <c r="J33" s="216"/>
      <c r="K33" s="156">
        <v>4100000</v>
      </c>
      <c r="L33" s="157" t="s">
        <v>22</v>
      </c>
      <c r="M33" s="158">
        <v>7699999</v>
      </c>
      <c r="N33" s="155">
        <f>IF(AND(K33="",M33=""),0,IF(O27&gt;10000000,0,IF(K33="",IF(O28&lt;=M33,1,0),IF(M33="",IF(O28&gt;=K33,1,0),IF(AND(O28&gt;=K33,O28&lt;=M33),1,0)))))</f>
        <v>0</v>
      </c>
      <c r="O33" s="159">
        <f>IF(N33=1,ROUNDDOWN(O28*0.85-685000,0),0)</f>
        <v>0</v>
      </c>
      <c r="P33" s="147"/>
      <c r="Q33" s="216"/>
      <c r="R33" s="156">
        <v>4100000</v>
      </c>
      <c r="S33" s="157" t="s">
        <v>22</v>
      </c>
      <c r="T33" s="158">
        <v>7699999</v>
      </c>
      <c r="U33" s="155">
        <f>IF(AND(R33="",T33=""),0,IF(V27&gt;10000000,0,IF(R33="",IF(V28&lt;=T33,1,0),IF(T33="",IF(V28&gt;=R33,1,0),IF(AND(V28&gt;=R33,V28&lt;=T33),1,0)))))</f>
        <v>0</v>
      </c>
      <c r="V33" s="159">
        <f>IF(U33=1,ROUNDDOWN(V28*0.85-685000,0),0)</f>
        <v>0</v>
      </c>
      <c r="Y33" s="58" t="s">
        <v>80</v>
      </c>
      <c r="Z33" s="55">
        <f>IF(C29=0,0,IF($AB$1&lt;C29,0,DATEDIF(MIN(C29,DATE(YEAR($AB$1),1,1)),DATE(YEAR($AB$1),1,1),"y")))</f>
        <v>0</v>
      </c>
      <c r="AA33" s="59" t="s">
        <v>81</v>
      </c>
      <c r="AB33" s="60">
        <v>0</v>
      </c>
      <c r="AC33" s="60">
        <v>0</v>
      </c>
      <c r="AD33" s="60">
        <v>0</v>
      </c>
      <c r="AE33" s="60">
        <v>0</v>
      </c>
      <c r="AF33" s="60">
        <v>0</v>
      </c>
      <c r="AG33" s="60">
        <v>0</v>
      </c>
      <c r="AH33" s="60">
        <v>0</v>
      </c>
      <c r="AI33" s="60">
        <v>0</v>
      </c>
      <c r="AJ33" s="60">
        <v>0</v>
      </c>
      <c r="AK33" s="60">
        <v>0</v>
      </c>
      <c r="AL33" s="60">
        <v>0</v>
      </c>
      <c r="AM33" s="60">
        <v>0</v>
      </c>
      <c r="AN33" s="60">
        <v>0</v>
      </c>
      <c r="AO33" s="32" t="s">
        <v>82</v>
      </c>
      <c r="AP33" s="33"/>
      <c r="AQ33" s="221" t="s">
        <v>83</v>
      </c>
      <c r="AR33" s="221"/>
      <c r="AS33" s="38">
        <f>O50</f>
        <v>0</v>
      </c>
      <c r="AT33" s="32" t="s">
        <v>84</v>
      </c>
      <c r="AU33" s="33">
        <f>AS32+AP34+AS33+AS34</f>
        <v>0</v>
      </c>
      <c r="AV33" s="56"/>
      <c r="AW33" s="57" t="s">
        <v>85</v>
      </c>
      <c r="AX33" s="76">
        <f>IF(C28="無",0,IF(AN32=0,0,IF(AD35="0",$AG$3*AN32/12,IF($AV$201=0,$AG$3*AN32/12*5/10,$AG$3*AN32/12))))</f>
        <v>0</v>
      </c>
      <c r="AY33" s="76">
        <f>IF(C28="無",0,IF(AN32=0,0,IF(AD35="0",$AH$3*AN32/12,IF($AV$201=0,$AH$3*AN32/12*5/10,$AH$3*AN32/12))))</f>
        <v>0</v>
      </c>
      <c r="AZ33" s="175">
        <f>IF(C28="無",0,IF(AN31&gt;0,$AI$3*AN31/12,0))</f>
        <v>0</v>
      </c>
      <c r="BA33" s="181">
        <f>IF(AF35="1",0,IF(C28="無",0,IF(AN32=0,0,IF(AD35="0",$AE$3*AN32/12,IF($AV$201=0,$AE$3*AN32/12*5/10,$AE$3*AN32/12)))))</f>
        <v>0</v>
      </c>
    </row>
    <row r="34" spans="1:53" ht="33.75">
      <c r="A34" s="7"/>
      <c r="B34" s="16"/>
      <c r="C34" s="166"/>
      <c r="D34" s="168"/>
      <c r="E34" s="169"/>
      <c r="F34" s="170"/>
      <c r="G34" s="171"/>
      <c r="H34" s="172"/>
      <c r="I34" s="147"/>
      <c r="J34" s="216"/>
      <c r="K34" s="156">
        <v>7700000</v>
      </c>
      <c r="L34" s="157" t="s">
        <v>22</v>
      </c>
      <c r="M34" s="158">
        <v>9999999</v>
      </c>
      <c r="N34" s="155">
        <f>IF(AND(K34="",M34=""),0,IF(O27&gt;10000000,0,IF(K34="",IF(O28&lt;=M34,1,0),IF(M34="",IF(O28&gt;=K34,1,0),IF(AND(O28&gt;=K34,O28&lt;=M34),1,0)))))</f>
        <v>0</v>
      </c>
      <c r="O34" s="159">
        <f>IF(N34=1,ROUNDDOWN(O28*0.95-1455000,0),0)</f>
        <v>0</v>
      </c>
      <c r="P34" s="147"/>
      <c r="Q34" s="216"/>
      <c r="R34" s="156">
        <v>7700000</v>
      </c>
      <c r="S34" s="157" t="s">
        <v>22</v>
      </c>
      <c r="T34" s="158">
        <v>9999999</v>
      </c>
      <c r="U34" s="155">
        <f>IF(AND(R34="",T34=""),0,IF(V27&gt;10000000,0,IF(R34="",IF(V28&lt;=T34,1,0),IF(T34="",IF(V28&gt;=R34,1,0),IF(AND(V28&gt;=R34,V28&lt;=T34),1,0)))))</f>
        <v>0</v>
      </c>
      <c r="V34" s="159">
        <f>IF(U34=1,ROUNDDOWN(V28*0.95-1455000,0),0)</f>
        <v>0</v>
      </c>
      <c r="Y34" s="58" t="s">
        <v>86</v>
      </c>
      <c r="Z34" s="55">
        <f>IF(C29=0,0,1)</f>
        <v>0</v>
      </c>
      <c r="AA34" s="61" t="s">
        <v>87</v>
      </c>
      <c r="AB34" s="60">
        <v>0</v>
      </c>
      <c r="AC34" s="60">
        <v>0</v>
      </c>
      <c r="AD34" s="60">
        <v>0</v>
      </c>
      <c r="AE34" s="60">
        <v>0</v>
      </c>
      <c r="AF34" s="60">
        <v>0</v>
      </c>
      <c r="AG34" s="60">
        <v>0</v>
      </c>
      <c r="AH34" s="60">
        <v>0</v>
      </c>
      <c r="AI34" s="60">
        <v>0</v>
      </c>
      <c r="AJ34" s="60">
        <v>0</v>
      </c>
      <c r="AK34" s="60">
        <v>0</v>
      </c>
      <c r="AL34" s="60">
        <v>0</v>
      </c>
      <c r="AM34" s="60">
        <v>0</v>
      </c>
      <c r="AN34" s="60">
        <f>COUNTIF(AB34:AM34,1)</f>
        <v>0</v>
      </c>
      <c r="AO34" s="24" t="s">
        <v>88</v>
      </c>
      <c r="AP34" s="34">
        <f>C32</f>
        <v>0</v>
      </c>
      <c r="AQ34" s="221" t="s">
        <v>89</v>
      </c>
      <c r="AR34" s="221"/>
      <c r="AS34" s="39">
        <f>V50</f>
        <v>0</v>
      </c>
      <c r="AT34" s="24" t="s">
        <v>90</v>
      </c>
      <c r="AU34" s="41">
        <f>IF(C28="無",0,IF(AU32&lt;430000,0,AU32-430000))</f>
        <v>0</v>
      </c>
      <c r="AV34" s="56"/>
      <c r="AW34" s="79" t="s">
        <v>91</v>
      </c>
      <c r="AX34" s="78">
        <f>IF(C28="無",0,IF(AN32=0,0,IF(AD35="0",$AG$3*AN32/12,IF($AV$201=0,$AG$3*AN32/12*5/10,IF($AV$201=7,$AG$3*AN32/12*0.85,IF($AV$201=5,$AG$3*AN32/12*0.75,IF($AV$201=2,$AG$3*AN32/12*0.6,$AG$3*AN32/12)))))))</f>
        <v>0</v>
      </c>
      <c r="AY34" s="78">
        <f>IF(C28="無",0,IF(AN32=0,0,IF(AD35="0",$AH$3*AN32/12,IF($AV$201=0,$AH$3*AN32/12*5/10,IF($AV$201=7,$AH$3*AN32/12*0.85,IF($AV$201=5,$AH$3*AN32/12*0.75,IF($AV$201=2,$AH$3*AN32/12*0.6,$AH$3*AN32/12)))))))</f>
        <v>0</v>
      </c>
      <c r="AZ34" s="56" t="s">
        <v>203</v>
      </c>
      <c r="BA34" s="62" t="s">
        <v>203</v>
      </c>
    </row>
    <row r="35" spans="1:53" ht="33.75">
      <c r="A35" s="7"/>
      <c r="B35" s="16"/>
      <c r="C35" s="166"/>
      <c r="D35" s="168"/>
      <c r="E35" s="169"/>
      <c r="F35" s="170"/>
      <c r="G35" s="171"/>
      <c r="H35" s="172"/>
      <c r="I35" s="147"/>
      <c r="J35" s="216"/>
      <c r="K35" s="156">
        <v>10000000</v>
      </c>
      <c r="L35" s="157" t="s">
        <v>22</v>
      </c>
      <c r="M35" s="158"/>
      <c r="N35" s="155">
        <f>IF(AND(K35="",M35=""),0,IF(O27&gt;10000000,0,IF(K35="",IF(O28&lt;=M35,1,0),IF(M35="",IF(O28&gt;=K35,1,0),IF(AND(O28&gt;=K35,O28&lt;=M35),1,0)))))</f>
        <v>0</v>
      </c>
      <c r="O35" s="159">
        <f>IF(N35=1,O28-1955000,0)</f>
        <v>0</v>
      </c>
      <c r="P35" s="147"/>
      <c r="Q35" s="216"/>
      <c r="R35" s="156">
        <v>10000000</v>
      </c>
      <c r="S35" s="157" t="s">
        <v>22</v>
      </c>
      <c r="T35" s="158"/>
      <c r="U35" s="155">
        <f>IF(AND(R35="",T35=""),0,IF(V27&gt;10000000,0,IF(R35="",IF(V28&lt;=T35,1,0),IF(T35="",IF(V28&gt;=R35,1,0),IF(AND(V28&gt;=R35,V28&lt;=T35),1,0)))))</f>
        <v>0</v>
      </c>
      <c r="V35" s="159">
        <f>IF(U35=1,V28-1955000,0)</f>
        <v>0</v>
      </c>
      <c r="Y35" s="63" t="s">
        <v>92</v>
      </c>
      <c r="Z35" s="60">
        <v>0</v>
      </c>
      <c r="AA35" s="64" t="s">
        <v>93</v>
      </c>
      <c r="AB35" s="130">
        <f>IF(Z34=0,0,IF(H28&gt;550000,1,IF(O28&gt;600000,1,IF(V28&gt;1250000,1,0))))</f>
        <v>0</v>
      </c>
      <c r="AC35" s="77" t="s">
        <v>94</v>
      </c>
      <c r="AD35" s="66" t="str">
        <f>IF(C29&gt;=EDATE($AB$1,-72)+1,"1","0")</f>
        <v>0</v>
      </c>
      <c r="AE35" s="173" t="s">
        <v>201</v>
      </c>
      <c r="AF35" s="174" t="str">
        <f>IF(C29&gt;=EDATE($AB$1,-216)+1,"1","0")</f>
        <v>0</v>
      </c>
      <c r="AG35" s="56"/>
      <c r="AH35" s="56"/>
      <c r="AI35" s="56"/>
      <c r="AJ35" s="56"/>
      <c r="AK35" s="56"/>
      <c r="AL35" s="56"/>
      <c r="AM35" s="56"/>
      <c r="AN35" s="56"/>
      <c r="AO35" s="26" t="s">
        <v>95</v>
      </c>
      <c r="AP35" s="43">
        <f>IF(AND(AS31+AP33&gt;0,AS33+AS34&gt;0),IF(AS31+AP33+AS33+AS34&lt;=100000,AS31+AP33,AS31+AP33-(MIN(AS31+AP33,100000)+MIN(AS33+AS34,100000)-100000)),AS31+AP33)</f>
        <v>0</v>
      </c>
      <c r="AQ35" s="27" t="s">
        <v>96</v>
      </c>
      <c r="AR35" s="43">
        <f>IF(AND(AS31+AP33&gt;0,AS33+AS34-MIN(AS34,150000)&gt;0),IF(AS31+AP33+AS33+AS34-MIN(AS34,150000)&lt;=100000,AS31+AP33,AS31+AP33-(MIN(AS31+AP33,100000)+MIN(AS33+AS34-MIN(AS34,150000),100000)-100000)),AS31+AP33)</f>
        <v>0</v>
      </c>
      <c r="AS35" s="67">
        <f>IF(AND(AS31*30/100&gt;0,AS33+AS34-MIN(AS34,150000)&gt;0),IF(AS31*30/100+AS33+AS34-MIN(AS34,150000)&lt;=100000,AS31*30/100,AS31*30/100-(MIN(AS31*30/100,100000)+MIN(AS33+AS34-MIN(AS34,150000),100000)-100000)),AS31*30/100)</f>
        <v>0</v>
      </c>
      <c r="AT35" s="32" t="s">
        <v>97</v>
      </c>
      <c r="AU35" s="40">
        <f>IF(M35=99,0,IF(AU33&lt;430000,0,AU33-430000))</f>
        <v>0</v>
      </c>
      <c r="AV35" s="56"/>
      <c r="AW35" s="118" t="s">
        <v>163</v>
      </c>
      <c r="AX35" s="56">
        <f>IF($AV$201=0,AX33,IF(OR(C28="無",AN32=0),0,$AG$3*AN32/12*0.1*(10-$AV$201)*IF(AD35="1",0.5,1)))</f>
        <v>0</v>
      </c>
      <c r="AY35" s="56">
        <f>IF($AV$201=0,AY33,IF(OR(C28="無",AN32=0),0,$AH$3*AN32/12*0.1*(10-$AV$201)*IF(AD35="1",0.5,1)))</f>
        <v>0</v>
      </c>
      <c r="AZ35" s="180">
        <f>IF($AV$201=0,AZ33,IF(OR(C28="無",AN31=0),0,$AI$3*AN31/12*0.1*(10-$AV$201)))</f>
        <v>0</v>
      </c>
      <c r="BA35" s="181">
        <f>IF($AV$201=0,BA33,IF(OR(C28="無",AN32=0),0,$AE$3*AN32/12*0.1*(10-$AV$201)))</f>
        <v>0</v>
      </c>
    </row>
    <row r="36" spans="1:53" ht="14.25" thickBot="1">
      <c r="A36" s="7"/>
      <c r="B36" s="16"/>
      <c r="C36" s="166"/>
      <c r="D36" s="168"/>
      <c r="E36" s="169"/>
      <c r="F36" s="170"/>
      <c r="G36" s="171"/>
      <c r="H36" s="172"/>
      <c r="I36" s="147"/>
      <c r="J36" s="216"/>
      <c r="K36" s="156"/>
      <c r="L36" s="162" t="s">
        <v>25</v>
      </c>
      <c r="M36" s="158"/>
      <c r="N36" s="155"/>
      <c r="O36" s="159"/>
      <c r="P36" s="147"/>
      <c r="Q36" s="216"/>
      <c r="R36" s="156"/>
      <c r="S36" s="162" t="s">
        <v>25</v>
      </c>
      <c r="T36" s="158"/>
      <c r="U36" s="155"/>
      <c r="V36" s="159"/>
      <c r="Y36" s="68"/>
      <c r="Z36" s="69"/>
      <c r="AA36" s="69"/>
      <c r="AB36" s="69"/>
      <c r="AC36" s="69"/>
      <c r="AD36" s="69"/>
      <c r="AE36" s="69"/>
      <c r="AF36" s="69"/>
      <c r="AG36" s="69"/>
      <c r="AH36" s="69"/>
      <c r="AI36" s="69"/>
      <c r="AJ36" s="69"/>
      <c r="AK36" s="69"/>
      <c r="AL36" s="69"/>
      <c r="AM36" s="69"/>
      <c r="AN36" s="69"/>
      <c r="AO36" s="69"/>
      <c r="AP36" s="69"/>
      <c r="AQ36" s="69"/>
      <c r="AR36" s="69"/>
      <c r="AS36" s="69"/>
      <c r="AT36" s="69"/>
      <c r="AU36" s="69"/>
      <c r="AV36" s="69"/>
      <c r="AW36" s="69"/>
      <c r="AX36" s="69"/>
      <c r="AY36" s="69"/>
      <c r="AZ36" s="69"/>
      <c r="BA36" s="178"/>
    </row>
    <row r="37" spans="1:53">
      <c r="A37" s="7"/>
      <c r="B37" s="16"/>
      <c r="C37" s="166"/>
      <c r="D37" s="11">
        <v>1900000</v>
      </c>
      <c r="E37" s="157" t="s">
        <v>22</v>
      </c>
      <c r="F37" s="158">
        <v>3599999</v>
      </c>
      <c r="G37" s="155">
        <f t="shared" ref="G37" si="19">IF(AND(D37="",F37=""),0,IF(D37="",IF($H$28&lt;=F37,1,0),IF(F37="",IF($H$28&gt;=D37,1,0),IF(AND($H$28&gt;=D37,$H$28&lt;=F37),1,0))))</f>
        <v>0</v>
      </c>
      <c r="H37" s="163">
        <f>IF(G37=1,ROUNDDOWN(ROUNDDOWN(H28/4,-3)*2.8,0)-80000,0)</f>
        <v>0</v>
      </c>
      <c r="I37" s="147"/>
      <c r="J37" s="216"/>
      <c r="K37" s="156"/>
      <c r="L37" s="157" t="s">
        <v>22</v>
      </c>
      <c r="M37" s="158">
        <v>1299999</v>
      </c>
      <c r="N37" s="155">
        <f>IF(AND(K37="",M37=""),0,IF(O27&lt;=10000000,0,IF(O27&gt;20000000,0,IF(K37="",IF(O28&lt;=M37,1,0),IF(M37="",IF(O28&gt;=K37,1,0),IF(AND(O28&gt;=K37,O28&lt;=M37),1,0))))))</f>
        <v>0</v>
      </c>
      <c r="O37" s="159">
        <f>IF(N37=1,IF(O28-500000&gt;0,O28-500000,0),0)</f>
        <v>0</v>
      </c>
      <c r="P37" s="147"/>
      <c r="Q37" s="216"/>
      <c r="R37" s="156"/>
      <c r="S37" s="157" t="s">
        <v>22</v>
      </c>
      <c r="T37" s="158">
        <v>3299999</v>
      </c>
      <c r="U37" s="155">
        <f>IF(AND(R37="",T37=""),0,IF(V27&lt;=10000000,0,IF(V27&gt;20000000,0,IF(R37="",IF(V28&lt;=T37,1,0),IF(T37="",IF(V28&gt;=R37,1,0),IF(AND(V28&gt;=R37,V28&lt;=T37),1,0))))))</f>
        <v>0</v>
      </c>
      <c r="V37" s="159">
        <f>IF(U37=1,IF(V28-1000000&gt;0,V28-1000000,0),0)</f>
        <v>0</v>
      </c>
      <c r="Y37" s="7"/>
      <c r="Z37" s="7"/>
      <c r="AA37" s="7"/>
      <c r="AB37" s="7"/>
      <c r="AC37" s="7"/>
      <c r="AD37" s="7"/>
      <c r="AE37" s="7"/>
      <c r="AF37" s="7"/>
      <c r="AG37" s="7"/>
      <c r="AH37" s="7"/>
      <c r="AI37" s="7"/>
      <c r="AJ37" s="7"/>
      <c r="AK37" s="7"/>
      <c r="AL37" s="7"/>
      <c r="AM37" s="7"/>
      <c r="AN37" s="7"/>
      <c r="AO37" s="7"/>
      <c r="AP37" s="7"/>
      <c r="AQ37" s="7"/>
      <c r="AR37" s="7"/>
      <c r="AS37" s="7"/>
      <c r="AT37" s="7"/>
      <c r="AU37" s="7"/>
      <c r="AV37" s="7"/>
      <c r="AW37" s="7"/>
      <c r="AX37" s="7"/>
      <c r="AY37" s="7"/>
      <c r="AZ37" s="7"/>
    </row>
    <row r="38" spans="1:53">
      <c r="A38" s="7"/>
      <c r="B38" s="16"/>
      <c r="C38" s="166"/>
      <c r="D38" s="156">
        <v>3600000</v>
      </c>
      <c r="E38" s="157" t="s">
        <v>22</v>
      </c>
      <c r="F38" s="158">
        <v>6599999</v>
      </c>
      <c r="G38" s="155">
        <f>IF(AND(D38="",F38=""),0,IF(D38="",IF($H$28&lt;=F38,1,0),IF(F38="",IF($H$28&gt;=D38,1,0),IF(AND($H$28&gt;=D38,$H$28&lt;=F38),1,0))))</f>
        <v>0</v>
      </c>
      <c r="H38" s="163">
        <f>IF(G38=1,ROUNDDOWN(ROUNDDOWN(H28/4,-3)*3.2,0)-440000,0)</f>
        <v>0</v>
      </c>
      <c r="I38" s="147"/>
      <c r="J38" s="216"/>
      <c r="K38" s="156">
        <v>1300000</v>
      </c>
      <c r="L38" s="157" t="s">
        <v>22</v>
      </c>
      <c r="M38" s="158">
        <v>4099999</v>
      </c>
      <c r="N38" s="155">
        <f>IF(AND(K38="",M38=""),0,IF(O27&lt;=10000000,0,IF(O27&gt;20000000,0,IF(K38="",IF(O28&lt;=M38,1,0),IF(M38="",IF(O28&gt;=K38,1,0),IF(AND(O28&gt;=K38,O28&lt;=M38),1,0))))))</f>
        <v>0</v>
      </c>
      <c r="O38" s="159">
        <f>IF(N38=1,ROUNDDOWN(O28*0.75-175000,0),0)</f>
        <v>0</v>
      </c>
      <c r="P38" s="147"/>
      <c r="Q38" s="216"/>
      <c r="R38" s="156">
        <v>3300000</v>
      </c>
      <c r="S38" s="157" t="s">
        <v>22</v>
      </c>
      <c r="T38" s="158">
        <v>4099999</v>
      </c>
      <c r="U38" s="155">
        <f>IF(AND(R38="",T38=""),0,IF(V27&lt;=10000000,0,IF(V27&gt;20000000,0,IF(R38="",IF(V28&lt;=T38,1,0),IF(T38="",IF(V28&gt;=R38,1,0),IF(AND(V28&gt;=R38,V28&lt;=T38),1,0))))))</f>
        <v>0</v>
      </c>
      <c r="V38" s="159">
        <f>IF(U38=1,ROUNDDOWN(V28*0.75-175000,0),0)</f>
        <v>0</v>
      </c>
      <c r="Y38" s="7"/>
      <c r="Z38" s="7"/>
      <c r="AA38" s="7"/>
      <c r="AB38" s="7"/>
      <c r="AC38" s="7"/>
      <c r="AD38" s="7"/>
      <c r="AE38" s="7"/>
      <c r="AF38" s="7"/>
      <c r="AG38" s="7"/>
      <c r="AH38" s="7"/>
      <c r="AI38" s="7"/>
      <c r="AJ38" s="7"/>
      <c r="AK38" s="7"/>
      <c r="AL38" s="7"/>
      <c r="AM38" s="7"/>
      <c r="AN38" s="7"/>
      <c r="AO38" s="7"/>
      <c r="AP38" s="7"/>
      <c r="AQ38" s="7"/>
      <c r="AR38" s="7"/>
      <c r="AS38" s="7"/>
      <c r="AT38" s="7"/>
      <c r="AU38" s="7"/>
      <c r="AV38" s="7"/>
      <c r="AW38" s="7"/>
      <c r="AX38" s="7"/>
      <c r="AY38" s="7"/>
      <c r="AZ38" s="7"/>
    </row>
    <row r="39" spans="1:53">
      <c r="A39" s="7"/>
      <c r="B39" s="16"/>
      <c r="C39" s="166"/>
      <c r="D39" s="156">
        <v>6600000</v>
      </c>
      <c r="E39" s="157" t="s">
        <v>22</v>
      </c>
      <c r="F39" s="158">
        <v>8499999</v>
      </c>
      <c r="G39" s="155">
        <f>IF(AND(D39="",F39=""),0,IF(D39="",IF($H$28&lt;=F39,1,0),IF(F39="",IF($H$28&gt;=D39,1,0),IF(AND($H$28&gt;=D39,$H$28&lt;=F39),1,0))))</f>
        <v>0</v>
      </c>
      <c r="H39" s="163">
        <f>IF(G39=1,ROUNDDOWN(H28*0.9-1100000,0),0)</f>
        <v>0</v>
      </c>
      <c r="I39" s="147"/>
      <c r="J39" s="216"/>
      <c r="K39" s="156">
        <v>4100000</v>
      </c>
      <c r="L39" s="157" t="s">
        <v>22</v>
      </c>
      <c r="M39" s="158">
        <v>7699999</v>
      </c>
      <c r="N39" s="155">
        <f>IF(AND(K39="",M39=""),0,IF(O27&lt;=10000000,0,IF(O27&gt;20000000,0,IF(K39="",IF(O28&lt;=M39,1,0),IF(M39="",IF(O28&gt;=K39,1,0),IF(AND(O28&gt;=K39,O28&lt;=M39),1,0))))))</f>
        <v>0</v>
      </c>
      <c r="O39" s="159">
        <f>IF(N39=1,ROUNDDOWN(O28*0.85-585000,0),0)</f>
        <v>0</v>
      </c>
      <c r="P39" s="147"/>
      <c r="Q39" s="216"/>
      <c r="R39" s="156">
        <v>4100000</v>
      </c>
      <c r="S39" s="157" t="s">
        <v>22</v>
      </c>
      <c r="T39" s="158">
        <v>7699999</v>
      </c>
      <c r="U39" s="155">
        <f>IF(AND(R39="",T39=""),0,IF(V27&lt;=10000000,0,IF(V27&gt;20000000,0,IF(R39="",IF(V28&lt;=T39,1,0),IF(T39="",IF(V28&gt;=R39,1,0),IF(AND(V28&gt;=R39,V28&lt;=T39),1,0))))))</f>
        <v>0</v>
      </c>
      <c r="V39" s="159">
        <f>IF(U39=1,ROUNDDOWN(V28*0.85-585000,0),0)</f>
        <v>0</v>
      </c>
      <c r="Y39" s="7"/>
      <c r="Z39" s="7"/>
      <c r="AA39" s="7"/>
      <c r="AB39" s="7"/>
      <c r="AC39" s="7"/>
      <c r="AD39" s="7"/>
      <c r="AE39" s="7"/>
      <c r="AF39" s="7"/>
      <c r="AG39" s="7"/>
      <c r="AH39" s="7"/>
      <c r="AI39" s="7"/>
      <c r="AJ39" s="7"/>
      <c r="AK39" s="7"/>
      <c r="AL39" s="7"/>
      <c r="AM39" s="7"/>
      <c r="AN39" s="7"/>
      <c r="AO39" s="7"/>
      <c r="AP39" s="7"/>
      <c r="AQ39" s="7"/>
      <c r="AR39" s="7"/>
      <c r="AS39" s="7"/>
      <c r="AT39" s="7"/>
      <c r="AU39" s="7"/>
      <c r="AV39" s="7"/>
      <c r="AW39" s="7"/>
      <c r="AX39" s="7"/>
      <c r="AY39" s="7"/>
      <c r="AZ39" s="7"/>
    </row>
    <row r="40" spans="1:53">
      <c r="A40" s="7"/>
      <c r="B40" s="16"/>
      <c r="C40" s="166"/>
      <c r="D40" s="156">
        <v>8500000</v>
      </c>
      <c r="E40" s="157" t="s">
        <v>22</v>
      </c>
      <c r="F40" s="158"/>
      <c r="G40" s="155">
        <f t="shared" ref="G40:G48" si="20">IF(AND(D40="",F40=""),0,IF(D40="",IF($H$28&lt;=F40,1,0),IF(F40="",IF($H$28&gt;=D40,1,0),IF(AND($H$28&gt;=D40,$H$28&lt;=F40),1,0))))</f>
        <v>0</v>
      </c>
      <c r="H40" s="163">
        <f>IF(G40=1,H28-1950000,0)</f>
        <v>0</v>
      </c>
      <c r="I40" s="147"/>
      <c r="J40" s="216"/>
      <c r="K40" s="156">
        <v>7700000</v>
      </c>
      <c r="L40" s="157" t="s">
        <v>22</v>
      </c>
      <c r="M40" s="158">
        <v>9999999</v>
      </c>
      <c r="N40" s="155">
        <f>IF(AND(K40="",M40=""),0,IF(O27&lt;=10000000,0,IF(O27&gt;20000000,0,IF(K40="",IF(O28&lt;=M40,1,0),IF(M40="",IF(O28&gt;=K40,1,0),IF(AND(O28&gt;=K40,O28&lt;=M40),1,0))))))</f>
        <v>0</v>
      </c>
      <c r="O40" s="159">
        <f>IF(N40=1,ROUNDDOWN(O28*0.95-1355000,0),0)</f>
        <v>0</v>
      </c>
      <c r="P40" s="147"/>
      <c r="Q40" s="216"/>
      <c r="R40" s="156">
        <v>7700000</v>
      </c>
      <c r="S40" s="157" t="s">
        <v>22</v>
      </c>
      <c r="T40" s="158">
        <v>9999999</v>
      </c>
      <c r="U40" s="155">
        <f>IF(AND(R40="",T40=""),0,IF(V27&lt;=10000000,0,IF(V27&gt;20000000,0,IF(R40="",IF(V28&lt;=T40,1,0),IF(T40="",IF(V28&gt;=R40,1,0),IF(AND(V28&gt;=R40,V28&lt;=T40),1,0))))))</f>
        <v>0</v>
      </c>
      <c r="V40" s="159">
        <f>IF(U40=1,ROUNDDOWN(V28*0.95-1355000,0),0)</f>
        <v>0</v>
      </c>
      <c r="Y40" s="7"/>
      <c r="Z40" s="7"/>
      <c r="AA40" s="7"/>
      <c r="AB40" s="7"/>
      <c r="AC40" s="7"/>
      <c r="AD40" s="7"/>
      <c r="AE40" s="7"/>
      <c r="AF40" s="7"/>
      <c r="AG40" s="7"/>
      <c r="AH40" s="7"/>
      <c r="AI40" s="7"/>
      <c r="AJ40" s="7"/>
      <c r="AK40" s="7"/>
      <c r="AL40" s="7"/>
      <c r="AM40" s="7"/>
      <c r="AN40" s="7"/>
      <c r="AO40" s="7"/>
      <c r="AP40" s="7"/>
      <c r="AQ40" s="7"/>
      <c r="AR40" s="7"/>
      <c r="AS40" s="7"/>
      <c r="AT40" s="7"/>
      <c r="AU40" s="7"/>
      <c r="AV40" s="7"/>
      <c r="AW40" s="7"/>
      <c r="AX40" s="7"/>
      <c r="AY40" s="7"/>
      <c r="AZ40" s="7"/>
    </row>
    <row r="41" spans="1:53">
      <c r="A41" s="7"/>
      <c r="B41" s="16"/>
      <c r="C41" s="166"/>
      <c r="D41" s="156"/>
      <c r="E41" s="157" t="s">
        <v>22</v>
      </c>
      <c r="F41" s="158"/>
      <c r="G41" s="155">
        <f t="shared" si="20"/>
        <v>0</v>
      </c>
      <c r="H41" s="163"/>
      <c r="I41" s="147"/>
      <c r="J41" s="216"/>
      <c r="K41" s="156">
        <v>10000000</v>
      </c>
      <c r="L41" s="157" t="s">
        <v>22</v>
      </c>
      <c r="M41" s="158"/>
      <c r="N41" s="155">
        <f>IF(AND(K41="",M41=""),0,IF(O27&lt;=10000000,0,IF(O27&gt;20000000,0,IF(K41="",IF(O28&lt;=M41,1,0),IF(M41="",IF(O28&gt;=K41,1,0),IF(AND(O28&gt;=K41,O28&lt;=M41),1,0))))))</f>
        <v>0</v>
      </c>
      <c r="O41" s="159">
        <f>IF(N41=1,O28-1855000,0)</f>
        <v>0</v>
      </c>
      <c r="P41" s="147"/>
      <c r="Q41" s="216"/>
      <c r="R41" s="156">
        <v>10000000</v>
      </c>
      <c r="S41" s="157" t="s">
        <v>22</v>
      </c>
      <c r="T41" s="158"/>
      <c r="U41" s="155">
        <f>IF(AND(R41="",T41=""),0,IF(V27&lt;=10000000,0,IF(V27&gt;20000000,0,IF(R41="",IF(V28&lt;=T41,1,0),IF(T41="",IF(V28&gt;=R41,1,0),IF(AND(V28&gt;=R41,V28&lt;=T41),1,0))))))</f>
        <v>0</v>
      </c>
      <c r="V41" s="159">
        <f>IF(U41=1,V28-1855000,0)</f>
        <v>0</v>
      </c>
      <c r="Y41" s="7"/>
      <c r="Z41" s="7"/>
      <c r="AA41" s="7"/>
      <c r="AB41" s="7"/>
      <c r="AC41" s="7"/>
      <c r="AD41" s="7"/>
      <c r="AE41" s="7"/>
      <c r="AF41" s="7"/>
      <c r="AG41" s="7"/>
      <c r="AH41" s="7"/>
      <c r="AI41" s="7"/>
      <c r="AJ41" s="7"/>
      <c r="AK41" s="7"/>
      <c r="AL41" s="7"/>
      <c r="AM41" s="7"/>
      <c r="AN41" s="7"/>
      <c r="AO41" s="7"/>
      <c r="AP41" s="7"/>
      <c r="AQ41" s="7"/>
      <c r="AR41" s="7"/>
      <c r="AS41" s="7"/>
      <c r="AT41" s="7"/>
      <c r="AU41" s="7"/>
      <c r="AV41" s="7"/>
      <c r="AW41" s="7"/>
      <c r="AX41" s="7"/>
      <c r="AY41" s="7"/>
      <c r="AZ41" s="7"/>
    </row>
    <row r="42" spans="1:53">
      <c r="A42" s="7"/>
      <c r="B42" s="16"/>
      <c r="C42" s="166"/>
      <c r="D42" s="156"/>
      <c r="E42" s="157" t="s">
        <v>22</v>
      </c>
      <c r="F42" s="158"/>
      <c r="G42" s="155">
        <f t="shared" si="20"/>
        <v>0</v>
      </c>
      <c r="H42" s="163"/>
      <c r="I42" s="147"/>
      <c r="J42" s="216"/>
      <c r="K42" s="156"/>
      <c r="L42" s="162" t="s">
        <v>27</v>
      </c>
      <c r="M42" s="158"/>
      <c r="N42" s="155"/>
      <c r="O42" s="163"/>
      <c r="P42" s="147"/>
      <c r="Q42" s="216"/>
      <c r="R42" s="156"/>
      <c r="S42" s="162" t="s">
        <v>27</v>
      </c>
      <c r="T42" s="158"/>
      <c r="U42" s="155"/>
      <c r="V42" s="163"/>
      <c r="Y42" s="7"/>
      <c r="Z42" s="7"/>
      <c r="AA42" s="7"/>
      <c r="AB42" s="7"/>
      <c r="AC42" s="7"/>
      <c r="AD42" s="7"/>
      <c r="AE42" s="7"/>
      <c r="AF42" s="7"/>
      <c r="AG42" s="7"/>
      <c r="AH42" s="7"/>
      <c r="AI42" s="7"/>
      <c r="AJ42" s="7"/>
      <c r="AK42" s="7"/>
      <c r="AL42" s="7"/>
      <c r="AM42" s="7"/>
      <c r="AN42" s="7"/>
      <c r="AO42" s="7"/>
      <c r="AP42" s="7"/>
      <c r="AQ42" s="7"/>
      <c r="AR42" s="7"/>
      <c r="AS42" s="7"/>
      <c r="AT42" s="7"/>
      <c r="AU42" s="7"/>
      <c r="AV42" s="7"/>
      <c r="AW42" s="7"/>
      <c r="AX42" s="7"/>
      <c r="AY42" s="7"/>
      <c r="AZ42" s="7"/>
    </row>
    <row r="43" spans="1:53">
      <c r="A43" s="7"/>
      <c r="B43" s="16"/>
      <c r="C43" s="166"/>
      <c r="D43" s="156"/>
      <c r="E43" s="157" t="s">
        <v>22</v>
      </c>
      <c r="F43" s="158"/>
      <c r="G43" s="155">
        <f t="shared" si="20"/>
        <v>0</v>
      </c>
      <c r="H43" s="163"/>
      <c r="I43" s="147"/>
      <c r="J43" s="216"/>
      <c r="K43" s="156"/>
      <c r="L43" s="157" t="s">
        <v>22</v>
      </c>
      <c r="M43" s="158">
        <v>1299999</v>
      </c>
      <c r="N43" s="155">
        <f>IF(AND(K43="",M43=""),0,IF(O27&lt;=20000000,0,IF(K43="",IF(O28&lt;=M43,1,0),IF(M43="",IF(O28&gt;=K43,1,0),IF(AND(O28&gt;=K43,O28&lt;=M43),1,0)))))</f>
        <v>0</v>
      </c>
      <c r="O43" s="159">
        <f>IF(N43=1,IF(O28-400000&gt;0,O28-400000,0),0)</f>
        <v>0</v>
      </c>
      <c r="P43" s="147"/>
      <c r="Q43" s="216"/>
      <c r="R43" s="156"/>
      <c r="S43" s="157" t="s">
        <v>22</v>
      </c>
      <c r="T43" s="158">
        <v>3299999</v>
      </c>
      <c r="U43" s="155">
        <f>IF(AND(R43="",T43=""),0,IF(V27&lt;=20000000,0,IF(R43="",IF(V28&lt;=T43,1,0),IF(T43="",IF(V28&gt;=R43,1,0),IF(AND(V28&gt;=R43,V28&lt;=T43),1,0)))))</f>
        <v>0</v>
      </c>
      <c r="V43" s="159">
        <f>IF(U43=1,IF(V28-900000&gt;0,V28-900000,0),0)</f>
        <v>0</v>
      </c>
      <c r="Y43" s="7"/>
      <c r="Z43" s="7"/>
      <c r="AA43" s="7"/>
      <c r="AB43" s="7"/>
      <c r="AC43" s="7"/>
      <c r="AD43" s="7"/>
      <c r="AE43" s="7"/>
      <c r="AF43" s="7"/>
      <c r="AG43" s="7"/>
      <c r="AH43" s="7"/>
      <c r="AI43" s="7"/>
      <c r="AJ43" s="7"/>
      <c r="AK43" s="7"/>
      <c r="AL43" s="7"/>
      <c r="AM43" s="7"/>
      <c r="AN43" s="7"/>
      <c r="AO43" s="7"/>
      <c r="AP43" s="7"/>
      <c r="AQ43" s="7"/>
      <c r="AR43" s="7"/>
      <c r="AS43" s="7"/>
      <c r="AT43" s="7"/>
      <c r="AU43" s="7"/>
      <c r="AV43" s="7"/>
      <c r="AW43" s="7"/>
      <c r="AX43" s="7"/>
      <c r="AY43" s="7"/>
      <c r="AZ43" s="7"/>
    </row>
    <row r="44" spans="1:53">
      <c r="A44" s="7"/>
      <c r="B44" s="16"/>
      <c r="C44" s="166"/>
      <c r="D44" s="156"/>
      <c r="E44" s="157" t="s">
        <v>22</v>
      </c>
      <c r="F44" s="158"/>
      <c r="G44" s="155">
        <f t="shared" si="20"/>
        <v>0</v>
      </c>
      <c r="H44" s="163"/>
      <c r="I44" s="147"/>
      <c r="J44" s="216"/>
      <c r="K44" s="156">
        <v>1300000</v>
      </c>
      <c r="L44" s="157" t="s">
        <v>22</v>
      </c>
      <c r="M44" s="158">
        <v>4099999</v>
      </c>
      <c r="N44" s="155">
        <f>IF(AND(K44="",M44=""),0,IF(O27&lt;=20000000,0,IF(K44="",IF(O28&lt;=M44,1,0),IF(M44="",IF(O28&gt;=K44,1,0),IF(AND(O28&gt;=K44,O28&lt;=M44),1,0)))))</f>
        <v>0</v>
      </c>
      <c r="O44" s="159">
        <f>IF(N44=1,ROUNDDOWN(O28*0.75-75000,0),0)</f>
        <v>0</v>
      </c>
      <c r="P44" s="147"/>
      <c r="Q44" s="216"/>
      <c r="R44" s="156">
        <v>3300000</v>
      </c>
      <c r="S44" s="157" t="s">
        <v>22</v>
      </c>
      <c r="T44" s="158">
        <v>4099999</v>
      </c>
      <c r="U44" s="155">
        <f>IF(AND(R44="",T44=""),0,IF(V27&lt;=20000000,0,IF(R44="",IF(V28&lt;=T44,1,0),IF(T44="",IF(V28&gt;=R44,1,0),IF(AND(V28&gt;=R44,V28&lt;=T44),1,0)))))</f>
        <v>0</v>
      </c>
      <c r="V44" s="159">
        <f>IF(U44=1,ROUNDDOWN(V28*0.75-75000,0),0)</f>
        <v>0</v>
      </c>
      <c r="Y44" s="7"/>
      <c r="Z44" s="7"/>
      <c r="AA44" s="7"/>
      <c r="AB44" s="7"/>
      <c r="AC44" s="7"/>
      <c r="AD44" s="7"/>
      <c r="AE44" s="7"/>
      <c r="AF44" s="7"/>
      <c r="AG44" s="7"/>
      <c r="AH44" s="7"/>
      <c r="AI44" s="7"/>
      <c r="AJ44" s="7"/>
      <c r="AK44" s="7"/>
      <c r="AL44" s="7"/>
      <c r="AM44" s="7"/>
      <c r="AN44" s="7"/>
      <c r="AO44" s="7"/>
      <c r="AP44" s="7"/>
      <c r="AQ44" s="7"/>
      <c r="AR44" s="7"/>
      <c r="AS44" s="7"/>
      <c r="AT44" s="7"/>
      <c r="AU44" s="7"/>
      <c r="AV44" s="7"/>
      <c r="AW44" s="7"/>
      <c r="AX44" s="7"/>
      <c r="AY44" s="7"/>
      <c r="AZ44" s="7"/>
    </row>
    <row r="45" spans="1:53">
      <c r="A45" s="7"/>
      <c r="B45" s="16"/>
      <c r="C45" s="166"/>
      <c r="D45" s="156"/>
      <c r="E45" s="157" t="s">
        <v>22</v>
      </c>
      <c r="F45" s="158"/>
      <c r="G45" s="155">
        <f t="shared" si="20"/>
        <v>0</v>
      </c>
      <c r="H45" s="163"/>
      <c r="I45" s="147"/>
      <c r="J45" s="216"/>
      <c r="K45" s="156">
        <v>4100000</v>
      </c>
      <c r="L45" s="157" t="s">
        <v>22</v>
      </c>
      <c r="M45" s="158">
        <v>7699999</v>
      </c>
      <c r="N45" s="155">
        <f>IF(AND(K45="",M45=""),0,IF(O27&lt;=20000000,0,IF(K45="",IF(O28&lt;=M45,1,0),IF(M45="",IF(O28&gt;=K45,1,0),IF(AND(O28&gt;=K45,O28&lt;=M45),1,0)))))</f>
        <v>0</v>
      </c>
      <c r="O45" s="159">
        <f>IF(N45=1,ROUNDDOWN(O28*0.85-485000,0),0)</f>
        <v>0</v>
      </c>
      <c r="P45" s="147"/>
      <c r="Q45" s="216"/>
      <c r="R45" s="156">
        <v>4100000</v>
      </c>
      <c r="S45" s="157" t="s">
        <v>22</v>
      </c>
      <c r="T45" s="158">
        <v>7699999</v>
      </c>
      <c r="U45" s="155">
        <f>IF(AND(R45="",T45=""),0,IF(V27&lt;=20000000,0,IF(R45="",IF(V28&lt;=T45,1,0),IF(T45="",IF(V28&gt;=R45,1,0),IF(AND(V28&gt;=R45,V28&lt;=T45),1,0)))))</f>
        <v>0</v>
      </c>
      <c r="V45" s="159">
        <f>IF(U45=1,ROUNDDOWN(V28*0.85-485000,0),0)</f>
        <v>0</v>
      </c>
      <c r="Y45" s="7"/>
      <c r="Z45" s="7"/>
      <c r="AA45" s="7"/>
      <c r="AB45" s="7"/>
      <c r="AC45" s="7"/>
      <c r="AD45" s="7"/>
      <c r="AE45" s="7"/>
      <c r="AF45" s="7"/>
      <c r="AG45" s="7"/>
      <c r="AH45" s="7"/>
      <c r="AI45" s="7"/>
      <c r="AJ45" s="7"/>
      <c r="AK45" s="7"/>
      <c r="AL45" s="7"/>
      <c r="AM45" s="7"/>
      <c r="AN45" s="7"/>
      <c r="AO45" s="7"/>
      <c r="AP45" s="7"/>
      <c r="AQ45" s="7"/>
      <c r="AR45" s="7"/>
      <c r="AS45" s="7"/>
      <c r="AT45" s="7"/>
      <c r="AU45" s="7"/>
      <c r="AV45" s="7"/>
      <c r="AW45" s="7"/>
      <c r="AX45" s="7"/>
      <c r="AY45" s="7"/>
      <c r="AZ45" s="7"/>
    </row>
    <row r="46" spans="1:53">
      <c r="A46" s="7"/>
      <c r="B46" s="16"/>
      <c r="C46" s="166"/>
      <c r="D46" s="156"/>
      <c r="E46" s="157" t="s">
        <v>22</v>
      </c>
      <c r="F46" s="158"/>
      <c r="G46" s="155">
        <f t="shared" si="20"/>
        <v>0</v>
      </c>
      <c r="H46" s="163"/>
      <c r="I46" s="147"/>
      <c r="J46" s="216"/>
      <c r="K46" s="156">
        <v>7700000</v>
      </c>
      <c r="L46" s="157" t="s">
        <v>22</v>
      </c>
      <c r="M46" s="158">
        <v>9999999</v>
      </c>
      <c r="N46" s="155">
        <f>IF(AND(K46="",M46=""),0,IF(O27&lt;=20000000,0,IF(K46="",IF(O28&lt;=M46,1,0),IF(M46="",IF(O28&gt;=K46,1,0),IF(AND(O28&gt;=K46,O28&lt;=M46),1,0)))))</f>
        <v>0</v>
      </c>
      <c r="O46" s="159">
        <f>IF(N46=1,ROUNDDOWN(O28*0.95-1255000,0),0)</f>
        <v>0</v>
      </c>
      <c r="P46" s="147"/>
      <c r="Q46" s="216"/>
      <c r="R46" s="156">
        <v>7700000</v>
      </c>
      <c r="S46" s="157" t="s">
        <v>22</v>
      </c>
      <c r="T46" s="158">
        <v>9999999</v>
      </c>
      <c r="U46" s="155">
        <f>IF(AND(R46="",T46=""),0,IF(V27&lt;=20000000,0,IF(R46="",IF(V28&lt;=T46,1,0),IF(T46="",IF(V28&gt;=R46,1,0),IF(AND(V28&gt;=R46,V28&lt;=T46),1,0)))))</f>
        <v>0</v>
      </c>
      <c r="V46" s="159">
        <f>IF(U46=1,ROUNDDOWN(V28*0.95-1255000,0),0)</f>
        <v>0</v>
      </c>
      <c r="Y46" s="7"/>
      <c r="Z46" s="7"/>
      <c r="AA46" s="7"/>
      <c r="AB46" s="7"/>
      <c r="AC46" s="7"/>
      <c r="AD46" s="7"/>
      <c r="AE46" s="7"/>
      <c r="AF46" s="7"/>
      <c r="AG46" s="7"/>
      <c r="AH46" s="7"/>
      <c r="AI46" s="7"/>
      <c r="AJ46" s="7"/>
      <c r="AK46" s="7"/>
      <c r="AL46" s="7"/>
      <c r="AM46" s="7"/>
      <c r="AN46" s="7"/>
      <c r="AO46" s="7"/>
      <c r="AP46" s="7"/>
      <c r="AQ46" s="7"/>
      <c r="AR46" s="7"/>
      <c r="AS46" s="7"/>
      <c r="AT46" s="7"/>
      <c r="AU46" s="7"/>
      <c r="AV46" s="7"/>
      <c r="AW46" s="7"/>
      <c r="AX46" s="7"/>
      <c r="AY46" s="7"/>
      <c r="AZ46" s="7"/>
    </row>
    <row r="47" spans="1:53">
      <c r="A47" s="7"/>
      <c r="B47" s="16"/>
      <c r="C47" s="166"/>
      <c r="D47" s="156"/>
      <c r="E47" s="157" t="s">
        <v>22</v>
      </c>
      <c r="F47" s="158"/>
      <c r="G47" s="155">
        <f t="shared" si="20"/>
        <v>0</v>
      </c>
      <c r="H47" s="163"/>
      <c r="I47" s="147"/>
      <c r="J47" s="216"/>
      <c r="K47" s="156">
        <v>10000000</v>
      </c>
      <c r="L47" s="157" t="s">
        <v>22</v>
      </c>
      <c r="M47" s="158"/>
      <c r="N47" s="155">
        <f>IF(AND(K47="",M47=""),0,IF(O27&lt;=20000000,0,IF(K47="",IF(O28&lt;=M47,1,0),IF(M47="",IF(O28&gt;=K47,1,0),IF(AND(O28&gt;=K47,O28&lt;=M47),1,0)))))</f>
        <v>0</v>
      </c>
      <c r="O47" s="159">
        <f>IF(N47=1,O28-1755000,0)</f>
        <v>0</v>
      </c>
      <c r="P47" s="147"/>
      <c r="Q47" s="216"/>
      <c r="R47" s="156">
        <v>10000000</v>
      </c>
      <c r="S47" s="157" t="s">
        <v>22</v>
      </c>
      <c r="T47" s="158"/>
      <c r="U47" s="155">
        <f>IF(AND(R47="",T47=""),0,IF(V27&lt;=20000000,0,IF(R47="",IF(V28&lt;=T47,1,0),IF(T47="",IF(V28&gt;=R47,1,0),IF(AND(V28&gt;=R47,V28&lt;=T47),1,0)))))</f>
        <v>0</v>
      </c>
      <c r="V47" s="159">
        <f>IF(U47=1,V28-1755000,0)</f>
        <v>0</v>
      </c>
      <c r="Y47" s="7"/>
      <c r="Z47" s="7"/>
      <c r="AA47" s="7"/>
      <c r="AB47" s="7"/>
      <c r="AC47" s="7"/>
      <c r="AD47" s="7"/>
      <c r="AE47" s="7"/>
      <c r="AF47" s="7"/>
      <c r="AG47" s="7"/>
      <c r="AH47" s="7"/>
      <c r="AI47" s="7"/>
      <c r="AJ47" s="7"/>
      <c r="AK47" s="7"/>
      <c r="AL47" s="7"/>
      <c r="AM47" s="7"/>
      <c r="AN47" s="7"/>
      <c r="AO47" s="7"/>
      <c r="AP47" s="7"/>
      <c r="AQ47" s="7"/>
      <c r="AR47" s="7"/>
      <c r="AS47" s="7"/>
      <c r="AT47" s="7"/>
      <c r="AU47" s="7"/>
      <c r="AV47" s="7"/>
      <c r="AW47" s="7"/>
      <c r="AX47" s="7"/>
      <c r="AY47" s="7"/>
      <c r="AZ47" s="7"/>
    </row>
    <row r="48" spans="1:53">
      <c r="A48" s="7"/>
      <c r="B48" s="16"/>
      <c r="C48" s="166"/>
      <c r="D48" s="156"/>
      <c r="E48" s="157" t="s">
        <v>22</v>
      </c>
      <c r="F48" s="158"/>
      <c r="G48" s="155">
        <f t="shared" si="20"/>
        <v>0</v>
      </c>
      <c r="H48" s="159"/>
      <c r="I48" s="147"/>
      <c r="J48" s="216"/>
      <c r="K48" s="156"/>
      <c r="L48" s="157" t="s">
        <v>22</v>
      </c>
      <c r="M48" s="158"/>
      <c r="N48" s="155"/>
      <c r="O48" s="159"/>
      <c r="P48" s="147"/>
      <c r="Q48" s="216"/>
      <c r="R48" s="156"/>
      <c r="S48" s="157" t="s">
        <v>22</v>
      </c>
      <c r="T48" s="158"/>
      <c r="U48" s="155"/>
      <c r="V48" s="159"/>
      <c r="Y48" s="7"/>
      <c r="Z48" s="7"/>
      <c r="AA48" s="7"/>
      <c r="AB48" s="7"/>
      <c r="AC48" s="7"/>
      <c r="AD48" s="7"/>
      <c r="AE48" s="7"/>
      <c r="AF48" s="7"/>
      <c r="AG48" s="7"/>
      <c r="AH48" s="7"/>
      <c r="AI48" s="7"/>
      <c r="AJ48" s="7"/>
      <c r="AK48" s="7"/>
      <c r="AL48" s="7"/>
      <c r="AM48" s="7"/>
      <c r="AN48" s="7"/>
      <c r="AO48" s="7"/>
      <c r="AP48" s="7"/>
      <c r="AQ48" s="7"/>
      <c r="AR48" s="7"/>
      <c r="AS48" s="7"/>
      <c r="AT48" s="7"/>
      <c r="AU48" s="7"/>
      <c r="AV48" s="7"/>
      <c r="AW48" s="7"/>
      <c r="AX48" s="7"/>
      <c r="AY48" s="7"/>
      <c r="AZ48" s="7"/>
    </row>
    <row r="49" spans="1:53">
      <c r="A49" s="7"/>
      <c r="B49" s="16"/>
      <c r="C49" s="166"/>
      <c r="D49" s="156"/>
      <c r="E49" s="157" t="s">
        <v>22</v>
      </c>
      <c r="F49" s="158"/>
      <c r="G49" s="155">
        <f>IF(AND(D49="",F49=""),0,IF(D49="",IF($H$28&lt;=F49,1,0),IF(F49="",IF($H$28&gt;=D49,1,0),IF(AND($H$28&gt;=D49,$H$28&lt;=F49),1,0))))</f>
        <v>0</v>
      </c>
      <c r="H49" s="159"/>
      <c r="I49" s="147"/>
      <c r="J49" s="216"/>
      <c r="K49" s="156"/>
      <c r="L49" s="157" t="s">
        <v>22</v>
      </c>
      <c r="M49" s="158"/>
      <c r="N49" s="155"/>
      <c r="O49" s="159"/>
      <c r="P49" s="147"/>
      <c r="Q49" s="216"/>
      <c r="R49" s="156"/>
      <c r="S49" s="157" t="s">
        <v>22</v>
      </c>
      <c r="T49" s="158"/>
      <c r="U49" s="155"/>
      <c r="V49" s="159"/>
      <c r="Y49" s="7"/>
      <c r="Z49" s="7"/>
      <c r="AA49" s="7"/>
      <c r="AB49" s="7"/>
      <c r="AC49" s="7"/>
      <c r="AD49" s="7"/>
      <c r="AE49" s="7"/>
      <c r="AF49" s="7"/>
      <c r="AG49" s="7"/>
      <c r="AH49" s="7"/>
      <c r="AI49" s="7"/>
      <c r="AJ49" s="7"/>
      <c r="AK49" s="7"/>
      <c r="AL49" s="7"/>
      <c r="AM49" s="7"/>
      <c r="AN49" s="7"/>
      <c r="AO49" s="7"/>
      <c r="AP49" s="7"/>
      <c r="AQ49" s="7"/>
      <c r="AR49" s="7"/>
      <c r="AS49" s="7"/>
      <c r="AT49" s="7"/>
      <c r="AU49" s="7"/>
      <c r="AV49" s="7"/>
      <c r="AW49" s="7"/>
      <c r="AX49" s="7"/>
      <c r="AY49" s="7"/>
      <c r="AZ49" s="7"/>
    </row>
    <row r="50" spans="1:53">
      <c r="A50" s="7"/>
      <c r="B50" s="16"/>
      <c r="C50" s="212" t="s">
        <v>20</v>
      </c>
      <c r="D50" s="213"/>
      <c r="E50" s="213"/>
      <c r="F50" s="213"/>
      <c r="G50" s="213"/>
      <c r="H50" s="151">
        <f>SUM(H30:H49)</f>
        <v>0</v>
      </c>
      <c r="I50" s="147"/>
      <c r="J50" s="214" t="s">
        <v>21</v>
      </c>
      <c r="K50" s="215"/>
      <c r="L50" s="215"/>
      <c r="M50" s="215"/>
      <c r="N50" s="212"/>
      <c r="O50" s="151">
        <f>SUM(O30:O49)</f>
        <v>0</v>
      </c>
      <c r="P50" s="147"/>
      <c r="Q50" s="214" t="s">
        <v>21</v>
      </c>
      <c r="R50" s="215"/>
      <c r="S50" s="215"/>
      <c r="T50" s="215"/>
      <c r="U50" s="212"/>
      <c r="V50" s="151">
        <f>SUM(V30:V49)</f>
        <v>0</v>
      </c>
      <c r="Y50" s="7"/>
      <c r="Z50" s="7"/>
      <c r="AA50" s="7"/>
      <c r="AB50" s="7"/>
      <c r="AC50" s="7"/>
      <c r="AD50" s="7"/>
      <c r="AE50" s="7"/>
      <c r="AF50" s="7"/>
      <c r="AG50" s="7"/>
      <c r="AH50" s="7"/>
      <c r="AI50" s="7"/>
      <c r="AJ50" s="7"/>
      <c r="AK50" s="7"/>
      <c r="AL50" s="7"/>
      <c r="AM50" s="7"/>
      <c r="AN50" s="7"/>
      <c r="AO50" s="7"/>
      <c r="AP50" s="7"/>
      <c r="AQ50" s="7"/>
      <c r="AR50" s="7"/>
      <c r="AS50" s="7"/>
      <c r="AT50" s="7"/>
      <c r="AU50" s="7"/>
      <c r="AV50" s="7"/>
      <c r="AW50" s="7"/>
      <c r="AX50" s="7"/>
      <c r="AY50" s="7"/>
      <c r="AZ50" s="7"/>
    </row>
    <row r="51" spans="1:53">
      <c r="C51" s="164"/>
      <c r="D51" s="165"/>
      <c r="E51" s="165"/>
      <c r="F51" s="165"/>
      <c r="G51" s="165"/>
      <c r="H51" s="165"/>
      <c r="I51" s="165"/>
      <c r="J51" s="165"/>
      <c r="K51" s="165"/>
      <c r="L51" s="165"/>
      <c r="M51" s="165"/>
      <c r="N51" s="165"/>
      <c r="O51" s="165"/>
      <c r="P51" s="165"/>
      <c r="Q51" s="165"/>
      <c r="R51" s="165"/>
      <c r="S51" s="165"/>
      <c r="T51" s="165"/>
      <c r="U51" s="165"/>
      <c r="V51" s="165"/>
      <c r="Y51" s="7"/>
      <c r="Z51" s="7"/>
      <c r="AA51" s="7"/>
      <c r="AB51" s="7"/>
      <c r="AC51" s="7"/>
      <c r="AD51" s="7"/>
      <c r="AE51" s="7"/>
      <c r="AF51" s="7"/>
      <c r="AG51" s="7"/>
      <c r="AH51" s="7"/>
      <c r="AI51" s="7"/>
      <c r="AJ51" s="7"/>
      <c r="AK51" s="7"/>
      <c r="AL51" s="7"/>
      <c r="AM51" s="7"/>
      <c r="AN51" s="7"/>
      <c r="AO51" s="7"/>
      <c r="AP51" s="7"/>
      <c r="AQ51" s="7"/>
      <c r="AR51" s="7"/>
      <c r="AS51" s="7"/>
      <c r="AT51" s="7"/>
      <c r="AU51" s="7"/>
      <c r="AV51" s="7"/>
      <c r="AW51" s="7"/>
      <c r="AX51" s="7"/>
      <c r="AY51" s="7"/>
      <c r="AZ51" s="7"/>
    </row>
    <row r="52" spans="1:53">
      <c r="A52" s="7"/>
      <c r="B52" s="7" t="s">
        <v>28</v>
      </c>
      <c r="C52" s="144"/>
      <c r="D52" s="145" t="str">
        <f>IF(C54=0,"空欄",Z58)</f>
        <v>空欄</v>
      </c>
      <c r="E52" s="146" t="s">
        <v>29</v>
      </c>
      <c r="F52" s="146"/>
      <c r="G52" s="146"/>
      <c r="H52" s="146"/>
      <c r="I52" s="147"/>
      <c r="J52" s="147"/>
      <c r="K52" s="148" t="s">
        <v>14</v>
      </c>
      <c r="L52" s="147"/>
      <c r="M52" s="149"/>
      <c r="N52" s="150" t="s">
        <v>15</v>
      </c>
      <c r="O52" s="151">
        <f>H75+C57</f>
        <v>0</v>
      </c>
      <c r="P52" s="147"/>
      <c r="Q52" s="147"/>
      <c r="R52" s="147" t="s">
        <v>16</v>
      </c>
      <c r="S52" s="147"/>
      <c r="T52" s="149"/>
      <c r="U52" s="150" t="s">
        <v>15</v>
      </c>
      <c r="V52" s="151">
        <f>H75+C56</f>
        <v>0</v>
      </c>
      <c r="Y52" s="7"/>
      <c r="Z52" s="7"/>
      <c r="AA52" s="7"/>
      <c r="AB52" s="7"/>
      <c r="AC52" s="7"/>
      <c r="AD52" s="7"/>
      <c r="AE52" s="7"/>
      <c r="AF52" s="7"/>
      <c r="AG52" s="7"/>
      <c r="AH52" s="7"/>
      <c r="AI52" s="7"/>
      <c r="AJ52" s="7"/>
      <c r="AK52" s="7"/>
      <c r="AL52" s="7"/>
      <c r="AM52" s="7"/>
      <c r="AN52" s="7"/>
      <c r="AO52" s="7"/>
      <c r="AP52" s="7"/>
      <c r="AQ52" s="7"/>
      <c r="AR52" s="7"/>
      <c r="AS52" s="7"/>
      <c r="AT52" s="7"/>
      <c r="AU52" s="7"/>
      <c r="AV52" s="7"/>
      <c r="AW52" s="7"/>
      <c r="AX52" s="7"/>
      <c r="AY52" s="7"/>
      <c r="AZ52" s="7"/>
    </row>
    <row r="53" spans="1:53" ht="13.5" customHeight="1">
      <c r="A53" s="7" t="s">
        <v>37</v>
      </c>
      <c r="B53" s="16"/>
      <c r="C53" s="152" t="s">
        <v>131</v>
      </c>
      <c r="D53" s="213" t="s">
        <v>17</v>
      </c>
      <c r="E53" s="213"/>
      <c r="F53" s="213"/>
      <c r="G53" s="213"/>
      <c r="H53" s="153">
        <f>C55</f>
        <v>0</v>
      </c>
      <c r="I53" s="147"/>
      <c r="J53" s="217" t="s">
        <v>33</v>
      </c>
      <c r="K53" s="213" t="s">
        <v>31</v>
      </c>
      <c r="L53" s="213"/>
      <c r="M53" s="213"/>
      <c r="N53" s="213"/>
      <c r="O53" s="154">
        <f>IF(D52&lt;65,C56,0)</f>
        <v>0</v>
      </c>
      <c r="P53" s="147"/>
      <c r="Q53" s="218" t="s">
        <v>164</v>
      </c>
      <c r="R53" s="213" t="s">
        <v>31</v>
      </c>
      <c r="S53" s="213"/>
      <c r="T53" s="213"/>
      <c r="U53" s="213"/>
      <c r="V53" s="154">
        <f>IF(D52&gt;=65,C56,0)</f>
        <v>0</v>
      </c>
      <c r="Y53" s="7"/>
      <c r="Z53" s="7"/>
      <c r="AA53" s="7"/>
      <c r="AB53" s="7"/>
      <c r="AC53" s="7"/>
      <c r="AD53" s="7"/>
      <c r="AE53" s="7"/>
      <c r="AF53" s="7"/>
      <c r="AG53" s="7"/>
      <c r="AH53" s="7"/>
      <c r="AI53" s="7"/>
      <c r="AJ53" s="7"/>
      <c r="AK53" s="7"/>
      <c r="AL53" s="7"/>
      <c r="AM53" s="7"/>
      <c r="AN53" s="7"/>
      <c r="AO53" s="7"/>
      <c r="AP53" s="7"/>
      <c r="AQ53" s="7"/>
      <c r="AR53" s="7"/>
      <c r="AS53" s="7"/>
      <c r="AT53" s="7"/>
      <c r="AU53" s="7"/>
      <c r="AV53" s="7"/>
      <c r="AW53" s="7"/>
      <c r="AX53" s="7"/>
      <c r="AY53" s="7"/>
      <c r="AZ53" s="7"/>
    </row>
    <row r="54" spans="1:53" ht="14.25" thickBot="1">
      <c r="A54" s="7"/>
      <c r="B54" s="2" t="s">
        <v>44</v>
      </c>
      <c r="C54" s="152">
        <f>簡易試算シート!C11</f>
        <v>0</v>
      </c>
      <c r="D54" s="215" t="s">
        <v>18</v>
      </c>
      <c r="E54" s="215"/>
      <c r="F54" s="212"/>
      <c r="G54" s="155" t="s">
        <v>19</v>
      </c>
      <c r="H54" s="155" t="s">
        <v>20</v>
      </c>
      <c r="I54" s="147"/>
      <c r="J54" s="216"/>
      <c r="K54" s="215" t="s">
        <v>18</v>
      </c>
      <c r="L54" s="215"/>
      <c r="M54" s="212"/>
      <c r="N54" s="155" t="s">
        <v>19</v>
      </c>
      <c r="O54" s="155" t="s">
        <v>20</v>
      </c>
      <c r="P54" s="147"/>
      <c r="Q54" s="219"/>
      <c r="R54" s="215"/>
      <c r="S54" s="215"/>
      <c r="T54" s="212"/>
      <c r="U54" s="155" t="s">
        <v>19</v>
      </c>
      <c r="V54" s="155" t="s">
        <v>21</v>
      </c>
      <c r="Y54" s="7"/>
      <c r="Z54" s="7"/>
      <c r="AA54" s="7"/>
      <c r="AB54" s="7"/>
      <c r="AC54" s="7"/>
      <c r="AD54" s="7"/>
      <c r="AE54" s="7"/>
      <c r="AF54" s="7"/>
      <c r="AG54" s="7"/>
      <c r="AH54" s="7"/>
      <c r="AI54" s="7"/>
      <c r="AJ54" s="7"/>
      <c r="AK54" s="7"/>
      <c r="AL54" s="7"/>
      <c r="AM54" s="7"/>
      <c r="AN54" s="7"/>
      <c r="AO54" s="7"/>
      <c r="AP54" s="7"/>
      <c r="AQ54" s="7"/>
      <c r="AR54" s="7"/>
      <c r="AS54" s="7"/>
      <c r="AT54" s="7"/>
      <c r="AU54" s="7"/>
      <c r="AV54" s="7"/>
      <c r="AW54" s="7"/>
      <c r="AX54" s="7"/>
      <c r="AY54" s="7"/>
      <c r="AZ54" s="7"/>
    </row>
    <row r="55" spans="1:53">
      <c r="A55" s="7"/>
      <c r="B55" s="2" t="s">
        <v>45</v>
      </c>
      <c r="C55" s="152">
        <f>簡易試算シート!D11</f>
        <v>0</v>
      </c>
      <c r="D55" s="11"/>
      <c r="E55" s="12" t="s">
        <v>22</v>
      </c>
      <c r="F55" s="13">
        <v>650999</v>
      </c>
      <c r="G55" s="155">
        <f>IF(AND(D55="",F55=""),0,IF(D55="",IF($H$53&lt;=F55,1,0),IF(F55="",IF($H$53&gt;=D55,1,0),IF(AND($H$53&gt;=D55,$H$53&lt;=F55),1,0))))</f>
        <v>1</v>
      </c>
      <c r="H55" s="159">
        <f>IF(G55=1,0,0)</f>
        <v>0</v>
      </c>
      <c r="I55" s="147"/>
      <c r="J55" s="216"/>
      <c r="K55" s="160"/>
      <c r="L55" s="157" t="s">
        <v>23</v>
      </c>
      <c r="M55" s="161"/>
      <c r="N55" s="155"/>
      <c r="O55" s="159"/>
      <c r="P55" s="147"/>
      <c r="Q55" s="219"/>
      <c r="R55" s="156"/>
      <c r="S55" s="157" t="s">
        <v>23</v>
      </c>
      <c r="T55" s="158"/>
      <c r="U55" s="155"/>
      <c r="V55" s="159"/>
      <c r="Y55" s="45"/>
      <c r="Z55" s="46" t="s">
        <v>49</v>
      </c>
      <c r="AA55" s="46" t="s">
        <v>50</v>
      </c>
      <c r="AB55" s="47" t="s">
        <v>51</v>
      </c>
      <c r="AC55" s="47" t="s">
        <v>52</v>
      </c>
      <c r="AD55" s="47" t="s">
        <v>53</v>
      </c>
      <c r="AE55" s="47" t="s">
        <v>54</v>
      </c>
      <c r="AF55" s="47" t="s">
        <v>55</v>
      </c>
      <c r="AG55" s="47" t="s">
        <v>56</v>
      </c>
      <c r="AH55" s="47" t="s">
        <v>57</v>
      </c>
      <c r="AI55" s="47" t="s">
        <v>58</v>
      </c>
      <c r="AJ55" s="47" t="s">
        <v>59</v>
      </c>
      <c r="AK55" s="47" t="s">
        <v>60</v>
      </c>
      <c r="AL55" s="47" t="s">
        <v>61</v>
      </c>
      <c r="AM55" s="47" t="s">
        <v>62</v>
      </c>
      <c r="AN55" s="47" t="s">
        <v>63</v>
      </c>
      <c r="AO55" s="47" t="s">
        <v>64</v>
      </c>
      <c r="AP55" s="222" t="s">
        <v>65</v>
      </c>
      <c r="AQ55" s="222"/>
      <c r="AR55" s="47"/>
      <c r="AS55" s="48" t="s">
        <v>66</v>
      </c>
      <c r="AT55" s="48" t="s">
        <v>67</v>
      </c>
      <c r="AU55" s="47"/>
      <c r="AV55" s="47"/>
      <c r="AW55" s="47"/>
      <c r="AX55" s="49" t="s">
        <v>68</v>
      </c>
      <c r="AY55" s="49" t="s">
        <v>69</v>
      </c>
      <c r="AZ55" s="49" t="s">
        <v>70</v>
      </c>
      <c r="BA55" s="176" t="s">
        <v>202</v>
      </c>
    </row>
    <row r="56" spans="1:53">
      <c r="A56" s="7"/>
      <c r="B56" s="2" t="s">
        <v>46</v>
      </c>
      <c r="C56" s="152">
        <f>簡易試算シート!E11</f>
        <v>0</v>
      </c>
      <c r="D56" s="11">
        <v>651000</v>
      </c>
      <c r="E56" s="12" t="s">
        <v>22</v>
      </c>
      <c r="F56" s="13">
        <v>1899999</v>
      </c>
      <c r="G56" s="155">
        <f>IF(AND(D56="",F56=""),0,IF(D56="",IF($H$53&lt;=F56,1,0),IF(F56="",IF($H$53&gt;=D56,1,0),IF(AND($H$53&gt;=D56,$H$53&lt;=F56),1,0))))</f>
        <v>0</v>
      </c>
      <c r="H56" s="167">
        <f>IF(G56=1,H53-650000,0)</f>
        <v>0</v>
      </c>
      <c r="I56" s="147"/>
      <c r="J56" s="216"/>
      <c r="K56" s="156"/>
      <c r="L56" s="157" t="s">
        <v>22</v>
      </c>
      <c r="M56" s="158">
        <v>1299999</v>
      </c>
      <c r="N56" s="155">
        <f>IF(AND(K56="",M56=""),0,IF(O52&gt;10000000,0,IF(K56="",IF(O53&lt;=M56,1,0),IF(M56="",IF(O53&gt;=K56,1,0),IF(AND(O53&gt;=K56,O53&lt;=M56),1,0)))))</f>
        <v>1</v>
      </c>
      <c r="O56" s="159">
        <f>IF(N56=1,IF(O53-600000&gt;0,O53-600000,0),0)</f>
        <v>0</v>
      </c>
      <c r="P56" s="147"/>
      <c r="Q56" s="219"/>
      <c r="R56" s="156"/>
      <c r="S56" s="157" t="s">
        <v>22</v>
      </c>
      <c r="T56" s="158">
        <v>3299999</v>
      </c>
      <c r="U56" s="155">
        <f>IF(AND(R56="",T56=""),0,IF(V52&gt;10000000,0,IF(R56="",IF(V53&lt;=T56,1,0),IF(T56="",IF(V53&gt;=R56,1,0),IF(AND(V53&gt;=R56,V53&lt;=T56),1,0)))))</f>
        <v>1</v>
      </c>
      <c r="V56" s="159">
        <f>IF(U56=1,IF(V53-1100000&gt;0,V53-1100000,0),0)</f>
        <v>0</v>
      </c>
      <c r="X56" t="s">
        <v>125</v>
      </c>
      <c r="Y56" s="50" t="s">
        <v>71</v>
      </c>
      <c r="Z56" s="51">
        <f>DATE(YEAR(C54)+40,MONTH(C54),DAY(C54))</f>
        <v>14610</v>
      </c>
      <c r="AA56" s="52">
        <f>DATE(YEAR(C54)+65,MONTH(C54),DAY(C54)-1)</f>
        <v>23741</v>
      </c>
      <c r="AB56" s="120">
        <f>IF(AND($Z56&lt;=AO$4,AO$3&lt;$AA56,AB57=1),1,IF(AND($Z56&lt;=AO$4,AO$3&lt;$AA56,AB57=2),2,0))</f>
        <v>0</v>
      </c>
      <c r="AC56" s="65">
        <f t="shared" ref="AC56" si="21">IF(AND($Z56&lt;=AP$4,AP$3&lt;$AA56,AC57=1),1,IF(AND($Z56&lt;=AP$4,AP$3&lt;$AA56,AC57=2),2,0))</f>
        <v>0</v>
      </c>
      <c r="AD56" s="65">
        <f t="shared" ref="AD56" si="22">IF(AND($Z56&lt;=AQ$4,AQ$3&lt;$AA56,AD57=1),1,IF(AND($Z56&lt;=AQ$4,AQ$3&lt;$AA56,AD57=2),2,0))</f>
        <v>0</v>
      </c>
      <c r="AE56" s="65">
        <f t="shared" ref="AE56" si="23">IF(AND($Z56&lt;=AR$4,AR$3&lt;$AA56,AE57=1),1,IF(AND($Z56&lt;=AR$4,AR$3&lt;$AA56,AE57=2),2,0))</f>
        <v>0</v>
      </c>
      <c r="AF56" s="65">
        <f t="shared" ref="AF56" si="24">IF(AND($Z56&lt;=AS$4,AS$3&lt;$AA56,AF57=1),1,IF(AND($Z56&lt;=AS$4,AS$3&lt;$AA56,AF57=2),2,0))</f>
        <v>0</v>
      </c>
      <c r="AG56" s="65">
        <f t="shared" ref="AG56" si="25">IF(AND($Z56&lt;=AT$4,AT$3&lt;$AA56,AG57=1),1,IF(AND($Z56&lt;=AT$4,AT$3&lt;$AA56,AG57=2),2,0))</f>
        <v>0</v>
      </c>
      <c r="AH56" s="65">
        <f t="shared" ref="AH56" si="26">IF(AND($Z56&lt;=AU$4,AU$3&lt;$AA56,AH57=1),1,IF(AND($Z56&lt;=AU$4,AU$3&lt;$AA56,AH57=2),2,0))</f>
        <v>0</v>
      </c>
      <c r="AI56" s="65">
        <f t="shared" ref="AI56" si="27">IF(AND($Z56&lt;=AV$4,AV$3&lt;$AA56,AI57=1),1,IF(AND($Z56&lt;=AV$4,AV$3&lt;$AA56,AI57=2),2,0))</f>
        <v>0</v>
      </c>
      <c r="AJ56" s="65">
        <f t="shared" ref="AJ56" si="28">IF(AND($Z56&lt;=AW$4,AW$3&lt;$AA56,AJ57=1),1,IF(AND($Z56&lt;=AW$4,AW$3&lt;$AA56,AJ57=2),2,0))</f>
        <v>0</v>
      </c>
      <c r="AK56" s="65">
        <f>IF(AND($Z56&lt;=AX$4,AX$3&lt;$AA56,AK57=1),1,IF(AND($Z56&lt;=AX$4,AX$3&lt;$AA56,AK57=2),2,0))</f>
        <v>0</v>
      </c>
      <c r="AL56" s="65">
        <f t="shared" ref="AL56" si="29">IF(AND($Z56&lt;=AY$4,AY$3&lt;$AA56,AL57=1),1,IF(AND($Z56&lt;=AY$4,AY$3&lt;$AA56,AL57=2),2,0))</f>
        <v>0</v>
      </c>
      <c r="AM56" s="65">
        <f t="shared" ref="AM56" si="30">IF(AND($Z56&lt;=AZ$4,AZ$3&lt;$AA56,AM57=1),1,IF(AND($Z56&lt;=AZ$4,AZ$3&lt;$AA56,AM57=2),2,0))</f>
        <v>0</v>
      </c>
      <c r="AN56" s="54">
        <f>COUNTIF(AB56:AM56,1)</f>
        <v>0</v>
      </c>
      <c r="AO56" s="55">
        <f>IF(AN56&gt;0,1,0)</f>
        <v>0</v>
      </c>
      <c r="AP56" s="20" t="s">
        <v>72</v>
      </c>
      <c r="AQ56" s="71"/>
      <c r="AR56" s="20" t="s">
        <v>73</v>
      </c>
      <c r="AS56" s="37">
        <f>H75</f>
        <v>0</v>
      </c>
      <c r="AT56" s="43">
        <f>MAX(IF(AND(Z59=1,Z60=0),AR60+AP59+AS58+IF(AS59&gt;150000,AS59-150000,0),IF(AND(Z59=1,Z60=1),AS60+AP59+AS58+IF(AS59&gt;150000,AS59-150000,0),0)),0)</f>
        <v>0</v>
      </c>
      <c r="AU56" s="56"/>
      <c r="AV56" s="56"/>
      <c r="AW56" s="57" t="s">
        <v>74</v>
      </c>
      <c r="AX56" s="75">
        <f>(AN57-AN59)/12*AU59*$AG$2</f>
        <v>0</v>
      </c>
      <c r="AY56" s="75">
        <f>(AN57-AN59)/12*AU59*$AH$2</f>
        <v>0</v>
      </c>
      <c r="AZ56" s="75">
        <f>IF(AO56=0,0,(AN56-AN58)/12*AU59*$AI$2)</f>
        <v>0</v>
      </c>
      <c r="BA56" s="181">
        <f>(AN57-AN59)/12*AU59*$AE$2</f>
        <v>0</v>
      </c>
    </row>
    <row r="57" spans="1:53">
      <c r="A57" s="7"/>
      <c r="B57" s="2" t="s">
        <v>47</v>
      </c>
      <c r="C57" s="152">
        <f>簡易試算シート!F11</f>
        <v>0</v>
      </c>
      <c r="D57" s="168"/>
      <c r="E57" s="169"/>
      <c r="F57" s="170"/>
      <c r="G57" s="171"/>
      <c r="H57" s="172"/>
      <c r="I57" s="147"/>
      <c r="J57" s="216"/>
      <c r="K57" s="156">
        <v>1300000</v>
      </c>
      <c r="L57" s="157" t="s">
        <v>22</v>
      </c>
      <c r="M57" s="158">
        <v>4099999</v>
      </c>
      <c r="N57" s="155">
        <f>IF(AND(K57="",M57=""),0,IF(O52&gt;10000000,0,IF(K57="",IF(O53&lt;=M57,1,0),IF(M57="",IF(O53&gt;=K57,1,0),IF(AND(O53&gt;=K57,O53&lt;=M57),1,0)))))</f>
        <v>0</v>
      </c>
      <c r="O57" s="159">
        <f>IF(N57=1,ROUNDDOWN(O53*0.75-275000,0),0)</f>
        <v>0</v>
      </c>
      <c r="P57" s="147"/>
      <c r="Q57" s="219"/>
      <c r="R57" s="156">
        <v>3300000</v>
      </c>
      <c r="S57" s="157" t="s">
        <v>22</v>
      </c>
      <c r="T57" s="158">
        <v>4099999</v>
      </c>
      <c r="U57" s="155">
        <f>IF(AND(R57="",T57=""),0,IF(V52&gt;10000000,0,IF(R57="",IF(V53&lt;=T57,1,0),IF(T57="",IF(V53&gt;=R57,1,0),IF(AND(V53&gt;=R57,V53&lt;=T57),1,0)))))</f>
        <v>0</v>
      </c>
      <c r="V57" s="159">
        <f>IF(U57=1,ROUNDDOWN(V53*0.75-275000,0),0)</f>
        <v>0</v>
      </c>
      <c r="Y57" s="50" t="s">
        <v>75</v>
      </c>
      <c r="Z57" s="56"/>
      <c r="AA57" s="56"/>
      <c r="AB57" s="53">
        <f>IF(C54=0,0,IF(C53="有",1,IF(C53="無",2,"有無要選択")))</f>
        <v>0</v>
      </c>
      <c r="AC57" s="53">
        <f>AB57</f>
        <v>0</v>
      </c>
      <c r="AD57" s="53">
        <f>AC57</f>
        <v>0</v>
      </c>
      <c r="AE57" s="53">
        <f t="shared" ref="AE57" si="31">AD57</f>
        <v>0</v>
      </c>
      <c r="AF57" s="53">
        <f t="shared" ref="AF57" si="32">AE57</f>
        <v>0</v>
      </c>
      <c r="AG57" s="53">
        <f t="shared" ref="AG57" si="33">AF57</f>
        <v>0</v>
      </c>
      <c r="AH57" s="53">
        <f t="shared" ref="AH57" si="34">AG57</f>
        <v>0</v>
      </c>
      <c r="AI57" s="53">
        <f t="shared" ref="AI57" si="35">AH57</f>
        <v>0</v>
      </c>
      <c r="AJ57" s="53">
        <f t="shared" ref="AJ57" si="36">AI57</f>
        <v>0</v>
      </c>
      <c r="AK57" s="53">
        <f t="shared" ref="AK57" si="37">AJ57</f>
        <v>0</v>
      </c>
      <c r="AL57" s="53">
        <f t="shared" ref="AL57" si="38">AK57</f>
        <v>0</v>
      </c>
      <c r="AM57" s="53">
        <f>AL57</f>
        <v>0</v>
      </c>
      <c r="AN57" s="54">
        <f>COUNTIF(AB57:AM57,1)</f>
        <v>0</v>
      </c>
      <c r="AO57" s="56"/>
      <c r="AP57" s="22" t="s">
        <v>76</v>
      </c>
      <c r="AQ57" s="72"/>
      <c r="AR57" s="36" t="s">
        <v>77</v>
      </c>
      <c r="AS57" s="35">
        <v>0</v>
      </c>
      <c r="AT57" s="24" t="s">
        <v>78</v>
      </c>
      <c r="AU57" s="42">
        <f>AP59+AP60+AS58+AS59</f>
        <v>0</v>
      </c>
      <c r="AV57" s="56"/>
      <c r="AW57" s="59" t="s">
        <v>79</v>
      </c>
      <c r="AX57" s="70"/>
      <c r="AY57" s="70"/>
      <c r="AZ57" s="70"/>
      <c r="BA57" s="182"/>
    </row>
    <row r="58" spans="1:53">
      <c r="A58" s="7"/>
      <c r="B58" s="16"/>
      <c r="C58" s="166"/>
      <c r="D58" s="168"/>
      <c r="E58" s="169"/>
      <c r="F58" s="170"/>
      <c r="G58" s="171"/>
      <c r="H58" s="172"/>
      <c r="I58" s="147"/>
      <c r="J58" s="216"/>
      <c r="K58" s="156">
        <v>4100000</v>
      </c>
      <c r="L58" s="157" t="s">
        <v>22</v>
      </c>
      <c r="M58" s="158">
        <v>7699999</v>
      </c>
      <c r="N58" s="155">
        <f>IF(AND(K58="",M58=""),0,IF(O52&gt;10000000,0,IF(K58="",IF(O53&lt;=M58,1,0),IF(M58="",IF(O53&gt;=K58,1,0),IF(AND(O53&gt;=K58,O53&lt;=M58),1,0)))))</f>
        <v>0</v>
      </c>
      <c r="O58" s="159">
        <f>IF(N58=1,ROUNDDOWN(O53*0.85-685000,0),0)</f>
        <v>0</v>
      </c>
      <c r="P58" s="147"/>
      <c r="Q58" s="219"/>
      <c r="R58" s="156">
        <v>4100000</v>
      </c>
      <c r="S58" s="157" t="s">
        <v>22</v>
      </c>
      <c r="T58" s="158">
        <v>7699999</v>
      </c>
      <c r="U58" s="155">
        <f>IF(AND(R58="",T58=""),0,IF(V52&gt;10000000,0,IF(R58="",IF(V53&lt;=T58,1,0),IF(T58="",IF(V53&gt;=R58,1,0),IF(AND(V53&gt;=R58,V53&lt;=T58),1,0)))))</f>
        <v>0</v>
      </c>
      <c r="V58" s="159">
        <f>IF(U58=1,ROUNDDOWN(V53*0.85-685000,0),0)</f>
        <v>0</v>
      </c>
      <c r="Y58" s="58" t="s">
        <v>80</v>
      </c>
      <c r="Z58" s="55">
        <f>IF(C54=0,0,IF($AB$1&lt;C54,0,DATEDIF(MIN(C54,DATE(YEAR($AB$1),1,1)),DATE(YEAR($AB$1),1,1),"y")))</f>
        <v>0</v>
      </c>
      <c r="AA58" s="59" t="s">
        <v>81</v>
      </c>
      <c r="AB58" s="60">
        <v>0</v>
      </c>
      <c r="AC58" s="60">
        <v>0</v>
      </c>
      <c r="AD58" s="60">
        <v>0</v>
      </c>
      <c r="AE58" s="60">
        <v>0</v>
      </c>
      <c r="AF58" s="60">
        <v>0</v>
      </c>
      <c r="AG58" s="60">
        <v>0</v>
      </c>
      <c r="AH58" s="60">
        <v>0</v>
      </c>
      <c r="AI58" s="60">
        <v>0</v>
      </c>
      <c r="AJ58" s="60">
        <v>0</v>
      </c>
      <c r="AK58" s="60">
        <v>0</v>
      </c>
      <c r="AL58" s="60">
        <v>0</v>
      </c>
      <c r="AM58" s="60">
        <v>0</v>
      </c>
      <c r="AN58" s="60">
        <v>0</v>
      </c>
      <c r="AO58" s="32" t="s">
        <v>82</v>
      </c>
      <c r="AP58" s="33"/>
      <c r="AQ58" s="221" t="s">
        <v>83</v>
      </c>
      <c r="AR58" s="221"/>
      <c r="AS58" s="38">
        <f>O75</f>
        <v>0</v>
      </c>
      <c r="AT58" s="32" t="s">
        <v>84</v>
      </c>
      <c r="AU58" s="33">
        <f>AS57+AP59+AS58+AS59</f>
        <v>0</v>
      </c>
      <c r="AV58" s="56"/>
      <c r="AW58" s="57" t="s">
        <v>85</v>
      </c>
      <c r="AX58" s="76">
        <f>IF(C53="無",0,IF(AN57=0,0,IF(AD60="0",$AG$3*AN57/12,IF($AV$201=0,$AG$3*AN57/12*5/10,$AG$3*AN57/12))))</f>
        <v>0</v>
      </c>
      <c r="AY58" s="76">
        <f>IF(C53="無",0,IF(AN57=0,0,IF(AD60="0",$AH$3*AN57/12,IF($AV$201=0,$AH$3*AN57/12*5/10,$AH$3*AN57/12))))</f>
        <v>0</v>
      </c>
      <c r="AZ58" s="175">
        <f>IF(C53="無",0,IF(AN56&gt;0,$AI$3*AN56/12,0))</f>
        <v>0</v>
      </c>
      <c r="BA58" s="181">
        <f>IF(AF60="1",0,IF(C53="無",0,IF(AN57=0,0,IF(AD60="0",$AE$3*AN57/12,IF($AV$201=0,$AE$3*AN57/12*5/10,$AE$3*AN57/12)))))</f>
        <v>0</v>
      </c>
    </row>
    <row r="59" spans="1:53" ht="33.75">
      <c r="A59" s="7"/>
      <c r="B59" s="16"/>
      <c r="C59" s="166"/>
      <c r="D59" s="168"/>
      <c r="E59" s="169"/>
      <c r="F59" s="170"/>
      <c r="G59" s="171"/>
      <c r="H59" s="172"/>
      <c r="I59" s="147"/>
      <c r="J59" s="216"/>
      <c r="K59" s="156">
        <v>7700000</v>
      </c>
      <c r="L59" s="157" t="s">
        <v>22</v>
      </c>
      <c r="M59" s="158">
        <v>9999999</v>
      </c>
      <c r="N59" s="155">
        <f>IF(AND(K59="",M59=""),0,IF(O52&gt;10000000,0,IF(K59="",IF(O53&lt;=M59,1,0),IF(M59="",IF(O53&gt;=K59,1,0),IF(AND(O53&gt;=K59,O53&lt;=M59),1,0)))))</f>
        <v>0</v>
      </c>
      <c r="O59" s="159">
        <f>IF(N59=1,ROUNDDOWN(O53*0.95-1455000,0),0)</f>
        <v>0</v>
      </c>
      <c r="P59" s="147"/>
      <c r="Q59" s="219"/>
      <c r="R59" s="156">
        <v>7700000</v>
      </c>
      <c r="S59" s="157" t="s">
        <v>22</v>
      </c>
      <c r="T59" s="158">
        <v>9999999</v>
      </c>
      <c r="U59" s="155">
        <f>IF(AND(R59="",T59=""),0,IF(V52&gt;10000000,0,IF(R59="",IF(V53&lt;=T59,1,0),IF(T59="",IF(V53&gt;=R59,1,0),IF(AND(V53&gt;=R59,V53&lt;=T59),1,0)))))</f>
        <v>0</v>
      </c>
      <c r="V59" s="159">
        <f>IF(U59=1,ROUNDDOWN(V53*0.95-1455000,0),0)</f>
        <v>0</v>
      </c>
      <c r="Y59" s="58" t="s">
        <v>86</v>
      </c>
      <c r="Z59" s="55">
        <f>IF(C54=0,0,1)</f>
        <v>0</v>
      </c>
      <c r="AA59" s="61" t="s">
        <v>87</v>
      </c>
      <c r="AB59" s="60">
        <v>0</v>
      </c>
      <c r="AC59" s="60">
        <v>0</v>
      </c>
      <c r="AD59" s="60">
        <v>0</v>
      </c>
      <c r="AE59" s="60">
        <v>0</v>
      </c>
      <c r="AF59" s="60">
        <v>0</v>
      </c>
      <c r="AG59" s="60">
        <v>0</v>
      </c>
      <c r="AH59" s="60">
        <v>0</v>
      </c>
      <c r="AI59" s="60">
        <v>0</v>
      </c>
      <c r="AJ59" s="60">
        <v>0</v>
      </c>
      <c r="AK59" s="60">
        <v>0</v>
      </c>
      <c r="AL59" s="60">
        <v>0</v>
      </c>
      <c r="AM59" s="60">
        <v>0</v>
      </c>
      <c r="AN59" s="60">
        <f>COUNTIF(AB59:AM59,1)</f>
        <v>0</v>
      </c>
      <c r="AO59" s="24" t="s">
        <v>88</v>
      </c>
      <c r="AP59" s="34">
        <f>C57</f>
        <v>0</v>
      </c>
      <c r="AQ59" s="221" t="s">
        <v>89</v>
      </c>
      <c r="AR59" s="221"/>
      <c r="AS59" s="39">
        <f>V75</f>
        <v>0</v>
      </c>
      <c r="AT59" s="24" t="s">
        <v>90</v>
      </c>
      <c r="AU59" s="41">
        <f>IF(C53="無",0,IF(AU57&lt;430000,0,AU57-430000))</f>
        <v>0</v>
      </c>
      <c r="AV59" s="56"/>
      <c r="AW59" s="79" t="s">
        <v>91</v>
      </c>
      <c r="AX59" s="78">
        <f>IF(C53="無",0,IF(AN57=0,0,IF(AD60="0",$AG$3*AN57/12,IF($AV$201=0,$AG$3*AN57/12*5/10,IF($AV$201=7,$AG$3*AN57/12*0.85,IF($AV$201=5,$AG$3*AN57/12*0.75,IF($AV$201=2,$AG$3*AN57/12*0.6,$AG$3*AN57/12)))))))</f>
        <v>0</v>
      </c>
      <c r="AY59" s="78">
        <f>IF(C53="無",0,IF(AN57=0,0,IF(AD60="0",$AH$3*AN57/12,IF($AV$201=0,$AH$3*AN57/12*5/10,IF($AV$201=7,$AH$3*AN57/12*0.85,IF($AV$201=5,$AH$3*AN57/12*0.75,IF($AV$201=2,$AH$3*AN57/12*0.6,$AH$3*AN57/12)))))))</f>
        <v>0</v>
      </c>
      <c r="AZ59" s="56" t="s">
        <v>203</v>
      </c>
      <c r="BA59" s="62" t="s">
        <v>203</v>
      </c>
    </row>
    <row r="60" spans="1:53" ht="33.75">
      <c r="A60" s="7"/>
      <c r="B60" s="16"/>
      <c r="C60" s="166"/>
      <c r="D60" s="168"/>
      <c r="E60" s="169"/>
      <c r="F60" s="170"/>
      <c r="G60" s="171"/>
      <c r="H60" s="172"/>
      <c r="I60" s="147"/>
      <c r="J60" s="216"/>
      <c r="K60" s="156">
        <v>10000000</v>
      </c>
      <c r="L60" s="157" t="s">
        <v>22</v>
      </c>
      <c r="M60" s="158"/>
      <c r="N60" s="155">
        <f>IF(AND(K60="",M60=""),0,IF(O52&gt;10000000,0,IF(K60="",IF(O53&lt;=M60,1,0),IF(M60="",IF(O53&gt;=K60,1,0),IF(AND(O53&gt;=K60,O53&lt;=M60),1,0)))))</f>
        <v>0</v>
      </c>
      <c r="O60" s="159">
        <f>IF(N60=1,O53-1955000,0)</f>
        <v>0</v>
      </c>
      <c r="P60" s="147"/>
      <c r="Q60" s="219"/>
      <c r="R60" s="156">
        <v>10000000</v>
      </c>
      <c r="S60" s="157" t="s">
        <v>22</v>
      </c>
      <c r="T60" s="158"/>
      <c r="U60" s="155">
        <f>IF(AND(R60="",T60=""),0,IF(V52&gt;10000000,0,IF(R60="",IF(V53&lt;=T60,1,0),IF(T60="",IF(V53&gt;=R60,1,0),IF(AND(V53&gt;=R60,V53&lt;=T60),1,0)))))</f>
        <v>0</v>
      </c>
      <c r="V60" s="159">
        <f>IF(U60=1,V53-1955000,0)</f>
        <v>0</v>
      </c>
      <c r="Y60" s="63" t="s">
        <v>92</v>
      </c>
      <c r="Z60" s="60">
        <v>0</v>
      </c>
      <c r="AA60" s="64" t="s">
        <v>93</v>
      </c>
      <c r="AB60" s="130">
        <f>IF(Z59=0,0,IF(H53&gt;550000,1,IF(O53&gt;600000,1,IF(V53&gt;1250000,1,0))))</f>
        <v>0</v>
      </c>
      <c r="AC60" s="77" t="s">
        <v>94</v>
      </c>
      <c r="AD60" s="66" t="str">
        <f>IF(C54&gt;=EDATE($AB$1,-72)+1,"1","0")</f>
        <v>0</v>
      </c>
      <c r="AE60" s="173" t="s">
        <v>201</v>
      </c>
      <c r="AF60" s="174" t="str">
        <f>IF(C54&gt;=EDATE($AB$1,-216)+1,"1","0")</f>
        <v>0</v>
      </c>
      <c r="AG60" s="56"/>
      <c r="AH60" s="56"/>
      <c r="AI60" s="56"/>
      <c r="AJ60" s="56"/>
      <c r="AK60" s="56"/>
      <c r="AL60" s="56"/>
      <c r="AM60" s="56"/>
      <c r="AN60" s="56"/>
      <c r="AO60" s="26" t="s">
        <v>95</v>
      </c>
      <c r="AP60" s="43">
        <f>IF(AND(AS56+AP58&gt;0,AS58+AS59&gt;0),IF(AS56+AP58+AS58+AS59&lt;=100000,AS56+AP58,AS56+AP58-(MIN(AS56+AP58,100000)+MIN(AS58+AS59,100000)-100000)),AS56+AP58)</f>
        <v>0</v>
      </c>
      <c r="AQ60" s="27" t="s">
        <v>96</v>
      </c>
      <c r="AR60" s="43">
        <f>IF(AND(AS56+AP58&gt;0,AS58+AS59-MIN(AS59,150000)&gt;0),IF(AS56+AP58+AS58+AS59-MIN(AS59,150000)&lt;=100000,AS56+AP58,AS56+AP58-(MIN(AS56+AP58,100000)+MIN(AS58+AS59-MIN(AS59,150000),100000)-100000)),AS56+AP58)</f>
        <v>0</v>
      </c>
      <c r="AS60" s="67">
        <f>IF(AND(AS56*30/100&gt;0,AS58+AS59-MIN(AS59,150000)&gt;0),IF(AS56*30/100+AS58+AS59-MIN(AS59,150000)&lt;=100000,AS56*30/100,AS56*30/100-(MIN(AS56*30/100,100000)+MIN(AS58+AS59-MIN(AS59,150000),100000)-100000)),AS56*30/100)</f>
        <v>0</v>
      </c>
      <c r="AT60" s="32" t="s">
        <v>97</v>
      </c>
      <c r="AU60" s="40">
        <f>IF(M60=99,0,IF(AU58&lt;430000,0,AU58-430000))</f>
        <v>0</v>
      </c>
      <c r="AV60" s="56"/>
      <c r="AW60" s="118" t="s">
        <v>163</v>
      </c>
      <c r="AX60" s="56">
        <f>IF($AV$201=0,AX58,IF(OR(C53="無",AN57=0),0,$AG$3*AN57/12*0.1*(10-$AV$201)*IF(AD60="1",0.5,1)))</f>
        <v>0</v>
      </c>
      <c r="AY60" s="56">
        <f>IF($AV$201=0,AY58,IF(OR(C53="無",AN57=0),0,$AH$3*AN57/12*0.1*(10-$AV$201)*IF(AD60="1",0.5,1)))</f>
        <v>0</v>
      </c>
      <c r="AZ60" s="180">
        <f>IF($AV$201=0,AZ58,IF(OR(C53="無",AN56=0),0,$AI$3*AN56/12*0.1*(10-$AV$201)))</f>
        <v>0</v>
      </c>
      <c r="BA60" s="181">
        <f>IF($AV$201=0,BA58,IF(OR(C53="無",AN57=0),0,$AE$3*AN57/12*0.1*(10-$AV$201)))</f>
        <v>0</v>
      </c>
    </row>
    <row r="61" spans="1:53" ht="14.25" thickBot="1">
      <c r="A61" s="7"/>
      <c r="B61" s="16"/>
      <c r="C61" s="166"/>
      <c r="D61" s="168"/>
      <c r="E61" s="169"/>
      <c r="F61" s="170"/>
      <c r="G61" s="171"/>
      <c r="H61" s="172"/>
      <c r="I61" s="147"/>
      <c r="J61" s="216"/>
      <c r="K61" s="156"/>
      <c r="L61" s="162" t="s">
        <v>25</v>
      </c>
      <c r="M61" s="158"/>
      <c r="N61" s="155"/>
      <c r="O61" s="159"/>
      <c r="P61" s="147"/>
      <c r="Q61" s="219"/>
      <c r="R61" s="156"/>
      <c r="S61" s="162" t="s">
        <v>25</v>
      </c>
      <c r="T61" s="158"/>
      <c r="U61" s="155"/>
      <c r="V61" s="159"/>
      <c r="Y61" s="68"/>
      <c r="Z61" s="69"/>
      <c r="AA61" s="69"/>
      <c r="AB61" s="69"/>
      <c r="AC61" s="69"/>
      <c r="AD61" s="69"/>
      <c r="AE61" s="69"/>
      <c r="AF61" s="69"/>
      <c r="AG61" s="69"/>
      <c r="AH61" s="69"/>
      <c r="AI61" s="69"/>
      <c r="AJ61" s="69"/>
      <c r="AK61" s="69"/>
      <c r="AL61" s="69"/>
      <c r="AM61" s="69"/>
      <c r="AN61" s="69"/>
      <c r="AO61" s="69"/>
      <c r="AP61" s="69"/>
      <c r="AQ61" s="69"/>
      <c r="AR61" s="69"/>
      <c r="AS61" s="69"/>
      <c r="AT61" s="69"/>
      <c r="AU61" s="69"/>
      <c r="AV61" s="69"/>
      <c r="AW61" s="69"/>
      <c r="AX61" s="69"/>
      <c r="AY61" s="69"/>
      <c r="AZ61" s="69"/>
      <c r="BA61" s="178"/>
    </row>
    <row r="62" spans="1:53">
      <c r="A62" s="7"/>
      <c r="B62" s="16"/>
      <c r="C62" s="166"/>
      <c r="D62" s="11">
        <v>1900000</v>
      </c>
      <c r="E62" s="157" t="s">
        <v>22</v>
      </c>
      <c r="F62" s="158">
        <v>3599999</v>
      </c>
      <c r="G62" s="155">
        <f>IF(AND(D62="",F62=""),0,IF(D62="",IF($H$53&lt;=F62,1,0),IF(F62="",IF($H$53&gt;=D62,1,0),IF(AND($H$53&gt;=D62,$H$53&lt;=F62),1,0))))</f>
        <v>0</v>
      </c>
      <c r="H62" s="163">
        <f>IF(G62=1,ROUNDDOWN(ROUNDDOWN(H53/4,-3)*2.8,0)-80000,0)</f>
        <v>0</v>
      </c>
      <c r="I62" s="147"/>
      <c r="J62" s="216"/>
      <c r="K62" s="156"/>
      <c r="L62" s="157" t="s">
        <v>22</v>
      </c>
      <c r="M62" s="158">
        <v>1299999</v>
      </c>
      <c r="N62" s="155">
        <f>IF(AND(K62="",M62=""),0,IF(O52&lt;=10000000,0,IF(O52&gt;20000000,0,IF(K62="",IF(O53&lt;=M62,1,0),IF(M62="",IF(O53&gt;=K62,1,0),IF(AND(O53&gt;=K62,O53&lt;=M62),1,0))))))</f>
        <v>0</v>
      </c>
      <c r="O62" s="159">
        <f>IF(N62=1,IF(O53-500000&gt;0,O53-500000,0),0)</f>
        <v>0</v>
      </c>
      <c r="P62" s="147"/>
      <c r="Q62" s="219"/>
      <c r="R62" s="156"/>
      <c r="S62" s="157" t="s">
        <v>22</v>
      </c>
      <c r="T62" s="158">
        <v>3299999</v>
      </c>
      <c r="U62" s="155">
        <f>IF(AND(R62="",T62=""),0,IF(V52&lt;=10000000,0,IF(V52&gt;20000000,0,IF(R62="",IF(V53&lt;=T62,1,0),IF(T62="",IF(V53&gt;=R62,1,0),IF(AND(V53&gt;=R62,V53&lt;=T62),1,0))))))</f>
        <v>0</v>
      </c>
      <c r="V62" s="159">
        <f>IF(U62=1,IF(V53-1000000&gt;0,V53-1000000,0),0)</f>
        <v>0</v>
      </c>
      <c r="Y62" s="7"/>
      <c r="Z62" s="7"/>
      <c r="AA62" s="7"/>
      <c r="AB62" s="7"/>
      <c r="AC62" s="7"/>
      <c r="AD62" s="7"/>
      <c r="AE62" s="7"/>
      <c r="AF62" s="7"/>
      <c r="AG62" s="7"/>
      <c r="AH62" s="7"/>
      <c r="AI62" s="7"/>
      <c r="AJ62" s="7"/>
      <c r="AK62" s="7"/>
      <c r="AL62" s="7"/>
      <c r="AM62" s="7"/>
      <c r="AN62" s="7"/>
      <c r="AO62" s="7"/>
      <c r="AP62" s="7"/>
      <c r="AQ62" s="7"/>
      <c r="AR62" s="7"/>
      <c r="AS62" s="7"/>
      <c r="AT62" s="7"/>
      <c r="AU62" s="7"/>
      <c r="AV62" s="7"/>
      <c r="AW62" s="7"/>
      <c r="AX62" s="7"/>
      <c r="AY62" s="7"/>
      <c r="AZ62" s="7"/>
    </row>
    <row r="63" spans="1:53">
      <c r="A63" s="7"/>
      <c r="B63" s="16"/>
      <c r="C63" s="166"/>
      <c r="D63" s="156">
        <v>3600000</v>
      </c>
      <c r="E63" s="157" t="s">
        <v>22</v>
      </c>
      <c r="F63" s="158">
        <v>6599999</v>
      </c>
      <c r="G63" s="155">
        <f>IF(AND(D63="",F63=""),0,IF(D63="",IF($H$53&lt;=F63,1,0),IF(F63="",IF($H$53&gt;=D63,1,0),IF(AND($H$53&gt;=D63,$H$53&lt;=F63),1,0))))</f>
        <v>0</v>
      </c>
      <c r="H63" s="163">
        <f>IF(G63=1,ROUNDDOWN(ROUNDDOWN(H53/4,-3)*3.2,0)-440000,0)</f>
        <v>0</v>
      </c>
      <c r="I63" s="147"/>
      <c r="J63" s="216"/>
      <c r="K63" s="156">
        <v>1300000</v>
      </c>
      <c r="L63" s="157" t="s">
        <v>22</v>
      </c>
      <c r="M63" s="158">
        <v>4099999</v>
      </c>
      <c r="N63" s="155">
        <f>IF(AND(K63="",M63=""),0,IF(O52&lt;=10000000,0,IF(O52&gt;20000000,0,IF(K63="",IF(O53&lt;=M63,1,0),IF(M63="",IF(O53&gt;=K63,1,0),IF(AND(O53&gt;=K63,O53&lt;=M63),1,0))))))</f>
        <v>0</v>
      </c>
      <c r="O63" s="159">
        <f>IF(N63=1,ROUNDDOWN(O53*0.75-175000,0),0)</f>
        <v>0</v>
      </c>
      <c r="P63" s="147"/>
      <c r="Q63" s="219"/>
      <c r="R63" s="156">
        <v>3300000</v>
      </c>
      <c r="S63" s="157" t="s">
        <v>22</v>
      </c>
      <c r="T63" s="158">
        <v>4099999</v>
      </c>
      <c r="U63" s="155">
        <f>IF(AND(R63="",T63=""),0,IF(V52&lt;=10000000,0,IF(V52&gt;20000000,0,IF(R63="",IF(V53&lt;=T63,1,0),IF(T63="",IF(V53&gt;=R63,1,0),IF(AND(V53&gt;=R63,V53&lt;=T63),1,0))))))</f>
        <v>0</v>
      </c>
      <c r="V63" s="159">
        <f>IF(U63=1,ROUNDDOWN(V53*0.75-175000,0),0)</f>
        <v>0</v>
      </c>
      <c r="Y63" s="7"/>
      <c r="Z63" s="7"/>
      <c r="AA63" s="7"/>
      <c r="AB63" s="7"/>
      <c r="AC63" s="7"/>
      <c r="AD63" s="7"/>
      <c r="AE63" s="7"/>
      <c r="AF63" s="7"/>
      <c r="AG63" s="7"/>
      <c r="AH63" s="7"/>
      <c r="AI63" s="7"/>
      <c r="AJ63" s="7"/>
      <c r="AK63" s="7"/>
      <c r="AL63" s="7"/>
      <c r="AM63" s="7"/>
      <c r="AN63" s="7"/>
      <c r="AO63" s="7"/>
      <c r="AP63" s="7"/>
      <c r="AQ63" s="7"/>
      <c r="AR63" s="7"/>
      <c r="AS63" s="7"/>
      <c r="AT63" s="7"/>
      <c r="AU63" s="7"/>
      <c r="AV63" s="7"/>
      <c r="AW63" s="7"/>
      <c r="AX63" s="7"/>
      <c r="AY63" s="7"/>
      <c r="AZ63" s="7"/>
    </row>
    <row r="64" spans="1:53">
      <c r="A64" s="7"/>
      <c r="B64" s="16"/>
      <c r="C64" s="166"/>
      <c r="D64" s="156">
        <v>6600000</v>
      </c>
      <c r="E64" s="157" t="s">
        <v>22</v>
      </c>
      <c r="F64" s="158">
        <v>8499999</v>
      </c>
      <c r="G64" s="155">
        <f>IF(AND(D64="",F64=""),0,IF(D64="",IF($H$53&lt;=F64,1,0),IF(F64="",IF($H$53&gt;=D64,1,0),IF(AND($H$53&gt;=D64,$H$53&lt;=F64),1,0))))</f>
        <v>0</v>
      </c>
      <c r="H64" s="163">
        <f>IF(G64=1,ROUNDDOWN(H53*0.9-1100000,0),0)</f>
        <v>0</v>
      </c>
      <c r="I64" s="147"/>
      <c r="J64" s="216"/>
      <c r="K64" s="156">
        <v>4100000</v>
      </c>
      <c r="L64" s="157" t="s">
        <v>22</v>
      </c>
      <c r="M64" s="158">
        <v>7699999</v>
      </c>
      <c r="N64" s="155">
        <f>IF(AND(K64="",M64=""),0,IF(O52&lt;=10000000,0,IF(O52&gt;20000000,0,IF(K64="",IF(O53&lt;=M64,1,0),IF(M64="",IF(O53&gt;=K64,1,0),IF(AND(O53&gt;=K64,O53&lt;=M64),1,0))))))</f>
        <v>0</v>
      </c>
      <c r="O64" s="159">
        <f>IF(N64=1,ROUNDDOWN(O53*0.85-585000,0),0)</f>
        <v>0</v>
      </c>
      <c r="P64" s="147"/>
      <c r="Q64" s="219"/>
      <c r="R64" s="156">
        <v>4100000</v>
      </c>
      <c r="S64" s="157" t="s">
        <v>22</v>
      </c>
      <c r="T64" s="158">
        <v>7699999</v>
      </c>
      <c r="U64" s="155">
        <f>IF(AND(R64="",T64=""),0,IF(V52&lt;=10000000,0,IF(V52&gt;20000000,0,IF(R64="",IF(V53&lt;=T64,1,0),IF(T64="",IF(V53&gt;=R64,1,0),IF(AND(V53&gt;=R64,V53&lt;=T64),1,0))))))</f>
        <v>0</v>
      </c>
      <c r="V64" s="159">
        <f>IF(U64=1,ROUNDDOWN(V53*0.85-585000,0),0)</f>
        <v>0</v>
      </c>
      <c r="Y64" s="7"/>
      <c r="Z64" s="7"/>
      <c r="AA64" s="7"/>
      <c r="AB64" s="7"/>
      <c r="AC64" s="7"/>
      <c r="AD64" s="7"/>
      <c r="AE64" s="7"/>
      <c r="AF64" s="7"/>
      <c r="AG64" s="7"/>
      <c r="AH64" s="7"/>
      <c r="AI64" s="7"/>
      <c r="AJ64" s="7"/>
      <c r="AK64" s="7"/>
      <c r="AL64" s="7"/>
      <c r="AM64" s="7"/>
      <c r="AN64" s="7"/>
      <c r="AO64" s="7"/>
      <c r="AP64" s="7"/>
      <c r="AQ64" s="7"/>
      <c r="AR64" s="7"/>
      <c r="AS64" s="7"/>
      <c r="AT64" s="7"/>
      <c r="AU64" s="7"/>
      <c r="AV64" s="7"/>
      <c r="AW64" s="7"/>
      <c r="AX64" s="7"/>
      <c r="AY64" s="7"/>
      <c r="AZ64" s="7"/>
    </row>
    <row r="65" spans="1:53">
      <c r="A65" s="7"/>
      <c r="B65" s="16"/>
      <c r="C65" s="166"/>
      <c r="D65" s="156">
        <v>8500000</v>
      </c>
      <c r="E65" s="157" t="s">
        <v>22</v>
      </c>
      <c r="F65" s="158"/>
      <c r="G65" s="155">
        <f t="shared" ref="G65:G74" si="39">IF(AND(D65="",F65=""),0,IF(D65="",IF($H$53&lt;=F65,1,0),IF(F65="",IF($H$53&gt;=D65,1,0),IF(AND($H$53&gt;=D65,$H$53&lt;=F65),1,0))))</f>
        <v>0</v>
      </c>
      <c r="H65" s="163">
        <f>IF(G65=1,H53-1950000,0)</f>
        <v>0</v>
      </c>
      <c r="I65" s="147"/>
      <c r="J65" s="216"/>
      <c r="K65" s="156">
        <v>7700000</v>
      </c>
      <c r="L65" s="157" t="s">
        <v>22</v>
      </c>
      <c r="M65" s="158">
        <v>9999999</v>
      </c>
      <c r="N65" s="155">
        <f>IF(AND(K65="",M65=""),0,IF(O52&lt;=10000000,0,IF(O52&gt;20000000,0,IF(K65="",IF(O53&lt;=M65,1,0),IF(M65="",IF(O53&gt;=K65,1,0),IF(AND(O53&gt;=K65,O53&lt;=M65),1,0))))))</f>
        <v>0</v>
      </c>
      <c r="O65" s="159">
        <f>IF(N65=1,ROUNDDOWN(O53*0.95-1355000,0),0)</f>
        <v>0</v>
      </c>
      <c r="P65" s="147"/>
      <c r="Q65" s="219"/>
      <c r="R65" s="156">
        <v>7700000</v>
      </c>
      <c r="S65" s="157" t="s">
        <v>22</v>
      </c>
      <c r="T65" s="158">
        <v>9999999</v>
      </c>
      <c r="U65" s="155">
        <f>IF(AND(R65="",T65=""),0,IF(V52&lt;=10000000,0,IF(V52&gt;20000000,0,IF(R65="",IF(V53&lt;=T65,1,0),IF(T65="",IF(V53&gt;=R65,1,0),IF(AND(V53&gt;=R65,V53&lt;=T65),1,0))))))</f>
        <v>0</v>
      </c>
      <c r="V65" s="159">
        <f>IF(U65=1,ROUNDDOWN(V53*0.95-1355000,0),0)</f>
        <v>0</v>
      </c>
      <c r="Y65" s="7"/>
      <c r="Z65" s="7"/>
      <c r="AA65" s="7"/>
      <c r="AB65" s="7"/>
      <c r="AC65" s="7"/>
      <c r="AD65" s="7"/>
      <c r="AE65" s="7"/>
      <c r="AF65" s="7"/>
      <c r="AG65" s="7"/>
      <c r="AH65" s="7"/>
      <c r="AI65" s="7"/>
      <c r="AJ65" s="7"/>
      <c r="AK65" s="7"/>
      <c r="AL65" s="7"/>
      <c r="AM65" s="7"/>
      <c r="AN65" s="7"/>
      <c r="AO65" s="7"/>
      <c r="AP65" s="7"/>
      <c r="AQ65" s="7"/>
      <c r="AR65" s="7"/>
      <c r="AS65" s="7"/>
      <c r="AT65" s="7"/>
      <c r="AU65" s="7"/>
      <c r="AV65" s="7"/>
      <c r="AW65" s="7"/>
      <c r="AX65" s="7"/>
      <c r="AY65" s="7"/>
      <c r="AZ65" s="7"/>
    </row>
    <row r="66" spans="1:53">
      <c r="A66" s="7"/>
      <c r="B66" s="16"/>
      <c r="C66" s="166"/>
      <c r="D66" s="156"/>
      <c r="E66" s="157" t="s">
        <v>22</v>
      </c>
      <c r="F66" s="158"/>
      <c r="G66" s="155">
        <f t="shared" si="39"/>
        <v>0</v>
      </c>
      <c r="H66" s="163"/>
      <c r="I66" s="147"/>
      <c r="J66" s="216"/>
      <c r="K66" s="156">
        <v>10000000</v>
      </c>
      <c r="L66" s="157" t="s">
        <v>22</v>
      </c>
      <c r="M66" s="158"/>
      <c r="N66" s="155">
        <f>IF(AND(K66="",M66=""),0,IF(O52&lt;=10000000,0,IF(O52&gt;20000000,0,IF(K66="",IF(O53&lt;=M66,1,0),IF(M66="",IF(O53&gt;=K66,1,0),IF(AND(O53&gt;=K66,O53&lt;=M66),1,0))))))</f>
        <v>0</v>
      </c>
      <c r="O66" s="159">
        <f>IF(N66=1,O53-1855000,0)</f>
        <v>0</v>
      </c>
      <c r="P66" s="147"/>
      <c r="Q66" s="219"/>
      <c r="R66" s="156">
        <v>10000000</v>
      </c>
      <c r="S66" s="157" t="s">
        <v>22</v>
      </c>
      <c r="T66" s="158"/>
      <c r="U66" s="155">
        <f>IF(AND(R66="",T66=""),0,IF(V52&lt;=10000000,0,IF(V52&gt;20000000,0,IF(R66="",IF(V53&lt;=T66,1,0),IF(T66="",IF(V53&gt;=R66,1,0),IF(AND(V53&gt;=R66,V53&lt;=T66),1,0))))))</f>
        <v>0</v>
      </c>
      <c r="V66" s="159">
        <f>IF(U66=1,V53-1855000,0)</f>
        <v>0</v>
      </c>
      <c r="Y66" s="7"/>
      <c r="Z66" s="7"/>
      <c r="AA66" s="7"/>
      <c r="AB66" s="7"/>
      <c r="AC66" s="7"/>
      <c r="AD66" s="7"/>
      <c r="AE66" s="7"/>
      <c r="AF66" s="7"/>
      <c r="AG66" s="7"/>
      <c r="AH66" s="7"/>
      <c r="AI66" s="7"/>
      <c r="AJ66" s="7"/>
      <c r="AK66" s="7"/>
      <c r="AL66" s="7"/>
      <c r="AM66" s="7"/>
      <c r="AN66" s="7"/>
      <c r="AO66" s="7"/>
      <c r="AP66" s="7"/>
      <c r="AQ66" s="7"/>
      <c r="AR66" s="7"/>
      <c r="AS66" s="7"/>
      <c r="AT66" s="7"/>
      <c r="AU66" s="7"/>
      <c r="AV66" s="7"/>
      <c r="AW66" s="7"/>
      <c r="AX66" s="7"/>
      <c r="AY66" s="7"/>
      <c r="AZ66" s="7"/>
    </row>
    <row r="67" spans="1:53">
      <c r="A67" s="7"/>
      <c r="B67" s="16"/>
      <c r="C67" s="166"/>
      <c r="D67" s="156"/>
      <c r="E67" s="157" t="s">
        <v>22</v>
      </c>
      <c r="F67" s="158"/>
      <c r="G67" s="155">
        <f t="shared" si="39"/>
        <v>0</v>
      </c>
      <c r="H67" s="163"/>
      <c r="I67" s="147"/>
      <c r="J67" s="216"/>
      <c r="K67" s="156"/>
      <c r="L67" s="162" t="s">
        <v>27</v>
      </c>
      <c r="M67" s="158"/>
      <c r="N67" s="155"/>
      <c r="O67" s="163"/>
      <c r="P67" s="147"/>
      <c r="Q67" s="219"/>
      <c r="R67" s="156"/>
      <c r="S67" s="162" t="s">
        <v>27</v>
      </c>
      <c r="T67" s="158"/>
      <c r="U67" s="155"/>
      <c r="V67" s="163"/>
      <c r="Y67" s="7"/>
      <c r="Z67" s="7"/>
      <c r="AA67" s="7"/>
      <c r="AB67" s="7"/>
      <c r="AC67" s="7"/>
      <c r="AD67" s="7"/>
      <c r="AE67" s="7"/>
      <c r="AF67" s="7"/>
      <c r="AG67" s="7"/>
      <c r="AH67" s="7"/>
      <c r="AI67" s="7"/>
      <c r="AJ67" s="7"/>
      <c r="AK67" s="7"/>
      <c r="AL67" s="7"/>
      <c r="AM67" s="7"/>
      <c r="AN67" s="7"/>
      <c r="AO67" s="7"/>
      <c r="AP67" s="7"/>
      <c r="AQ67" s="7"/>
      <c r="AR67" s="7"/>
      <c r="AS67" s="7"/>
      <c r="AT67" s="7"/>
      <c r="AU67" s="7"/>
      <c r="AV67" s="7"/>
      <c r="AW67" s="7"/>
      <c r="AX67" s="7"/>
      <c r="AY67" s="7"/>
      <c r="AZ67" s="7"/>
    </row>
    <row r="68" spans="1:53">
      <c r="A68" s="7"/>
      <c r="B68" s="16"/>
      <c r="C68" s="166"/>
      <c r="D68" s="156"/>
      <c r="E68" s="157" t="s">
        <v>22</v>
      </c>
      <c r="F68" s="158"/>
      <c r="G68" s="155">
        <f t="shared" si="39"/>
        <v>0</v>
      </c>
      <c r="H68" s="163"/>
      <c r="I68" s="147"/>
      <c r="J68" s="216"/>
      <c r="K68" s="156"/>
      <c r="L68" s="157" t="s">
        <v>22</v>
      </c>
      <c r="M68" s="158">
        <v>1299999</v>
      </c>
      <c r="N68" s="155">
        <f>IF(AND(K68="",M68=""),0,IF(O52&lt;=20000000,0,IF(K68="",IF(O53&lt;=M68,1,0),IF(M68="",IF(O53&gt;=K68,1,0),IF(AND(O53&gt;=K68,O53&lt;=M68),1,0)))))</f>
        <v>0</v>
      </c>
      <c r="O68" s="159">
        <f>IF(N68=1,IF(O53-400000&gt;0,O53-400000,0),0)</f>
        <v>0</v>
      </c>
      <c r="P68" s="147"/>
      <c r="Q68" s="219"/>
      <c r="R68" s="156"/>
      <c r="S68" s="157" t="s">
        <v>22</v>
      </c>
      <c r="T68" s="158">
        <v>3299999</v>
      </c>
      <c r="U68" s="155">
        <f>IF(AND(R68="",T68=""),0,IF(V52&lt;=20000000,0,IF(R68="",IF(V53&lt;=T68,1,0),IF(T68="",IF(V53&gt;=R68,1,0),IF(AND(V53&gt;=R68,V53&lt;=T68),1,0)))))</f>
        <v>0</v>
      </c>
      <c r="V68" s="159">
        <f>IF(U68=1,IF(V53-900000&gt;0,V53-900000,0),0)</f>
        <v>0</v>
      </c>
      <c r="Y68" s="7"/>
      <c r="Z68" s="7"/>
      <c r="AA68" s="7"/>
      <c r="AB68" s="7"/>
      <c r="AC68" s="7"/>
      <c r="AD68" s="7"/>
      <c r="AE68" s="7"/>
      <c r="AF68" s="7"/>
      <c r="AG68" s="7"/>
      <c r="AH68" s="7"/>
      <c r="AI68" s="7"/>
      <c r="AJ68" s="7"/>
      <c r="AK68" s="7"/>
      <c r="AL68" s="7"/>
      <c r="AM68" s="7"/>
      <c r="AN68" s="7"/>
      <c r="AO68" s="7"/>
      <c r="AP68" s="7"/>
      <c r="AQ68" s="7"/>
      <c r="AR68" s="7"/>
      <c r="AS68" s="7"/>
      <c r="AT68" s="7"/>
      <c r="AU68" s="7"/>
      <c r="AV68" s="7"/>
      <c r="AW68" s="7"/>
      <c r="AX68" s="7"/>
      <c r="AY68" s="7"/>
      <c r="AZ68" s="7"/>
    </row>
    <row r="69" spans="1:53">
      <c r="A69" s="7"/>
      <c r="B69" s="16"/>
      <c r="C69" s="166"/>
      <c r="D69" s="156"/>
      <c r="E69" s="157" t="s">
        <v>22</v>
      </c>
      <c r="F69" s="158"/>
      <c r="G69" s="155">
        <f t="shared" si="39"/>
        <v>0</v>
      </c>
      <c r="H69" s="163"/>
      <c r="I69" s="147"/>
      <c r="J69" s="216"/>
      <c r="K69" s="156">
        <v>1300000</v>
      </c>
      <c r="L69" s="157" t="s">
        <v>22</v>
      </c>
      <c r="M69" s="158">
        <v>4099999</v>
      </c>
      <c r="N69" s="155">
        <f>IF(AND(K69="",M69=""),0,IF(O52&lt;=20000000,0,IF(K69="",IF(O53&lt;=M69,1,0),IF(M69="",IF(O53&gt;=K69,1,0),IF(AND(O53&gt;=K69,O53&lt;=M69),1,0)))))</f>
        <v>0</v>
      </c>
      <c r="O69" s="159">
        <f>IF(N69=1,ROUNDDOWN(O53*0.75-75000,0),0)</f>
        <v>0</v>
      </c>
      <c r="P69" s="147"/>
      <c r="Q69" s="219"/>
      <c r="R69" s="156">
        <v>3300000</v>
      </c>
      <c r="S69" s="157" t="s">
        <v>22</v>
      </c>
      <c r="T69" s="158">
        <v>4099999</v>
      </c>
      <c r="U69" s="155">
        <f>IF(AND(R69="",T69=""),0,IF(V52&lt;=20000000,0,IF(R69="",IF(V53&lt;=T69,1,0),IF(T69="",IF(V53&gt;=R69,1,0),IF(AND(V53&gt;=R69,V53&lt;=T69),1,0)))))</f>
        <v>0</v>
      </c>
      <c r="V69" s="159">
        <f>IF(U69=1,ROUNDDOWN(V53*0.75-75000,0),0)</f>
        <v>0</v>
      </c>
      <c r="Y69" s="7"/>
      <c r="Z69" s="7"/>
      <c r="AA69" s="7"/>
      <c r="AB69" s="7"/>
      <c r="AC69" s="7"/>
      <c r="AD69" s="7"/>
      <c r="AE69" s="7"/>
      <c r="AF69" s="7"/>
      <c r="AG69" s="7"/>
      <c r="AH69" s="7"/>
      <c r="AI69" s="7"/>
      <c r="AJ69" s="7"/>
      <c r="AK69" s="7"/>
      <c r="AL69" s="7"/>
      <c r="AM69" s="7"/>
      <c r="AN69" s="7"/>
      <c r="AO69" s="7"/>
      <c r="AP69" s="7"/>
      <c r="AQ69" s="7"/>
      <c r="AR69" s="7"/>
      <c r="AS69" s="7"/>
      <c r="AT69" s="7"/>
      <c r="AU69" s="7"/>
      <c r="AV69" s="7"/>
      <c r="AW69" s="7"/>
      <c r="AX69" s="7"/>
      <c r="AY69" s="7"/>
      <c r="AZ69" s="7"/>
    </row>
    <row r="70" spans="1:53">
      <c r="A70" s="7"/>
      <c r="B70" s="16"/>
      <c r="C70" s="166"/>
      <c r="D70" s="156"/>
      <c r="E70" s="157" t="s">
        <v>22</v>
      </c>
      <c r="F70" s="158"/>
      <c r="G70" s="155">
        <f t="shared" si="39"/>
        <v>0</v>
      </c>
      <c r="H70" s="163"/>
      <c r="I70" s="147"/>
      <c r="J70" s="216"/>
      <c r="K70" s="156">
        <v>4100000</v>
      </c>
      <c r="L70" s="157" t="s">
        <v>22</v>
      </c>
      <c r="M70" s="158">
        <v>7699999</v>
      </c>
      <c r="N70" s="155">
        <f>IF(AND(K70="",M70=""),0,IF(O52&lt;=20000000,0,IF(K70="",IF(O53&lt;=M70,1,0),IF(M70="",IF(O53&gt;=K70,1,0),IF(AND(O53&gt;=K70,O53&lt;=M70),1,0)))))</f>
        <v>0</v>
      </c>
      <c r="O70" s="159">
        <f>IF(N70=1,ROUNDDOWN(O53*0.85-485000,0),0)</f>
        <v>0</v>
      </c>
      <c r="P70" s="147"/>
      <c r="Q70" s="219"/>
      <c r="R70" s="156">
        <v>4100000</v>
      </c>
      <c r="S70" s="157" t="s">
        <v>22</v>
      </c>
      <c r="T70" s="158">
        <v>7699999</v>
      </c>
      <c r="U70" s="155">
        <f>IF(AND(R70="",T70=""),0,IF(V52&lt;=20000000,0,IF(R70="",IF(V53&lt;=T70,1,0),IF(T70="",IF(V53&gt;=R70,1,0),IF(AND(V53&gt;=R70,V53&lt;=T70),1,0)))))</f>
        <v>0</v>
      </c>
      <c r="V70" s="159">
        <f>IF(U70=1,ROUNDDOWN(V53*0.85-485000,0),0)</f>
        <v>0</v>
      </c>
      <c r="Y70" s="7"/>
      <c r="Z70" s="7"/>
      <c r="AA70" s="7"/>
      <c r="AB70" s="7"/>
      <c r="AC70" s="7"/>
      <c r="AD70" s="7"/>
      <c r="AE70" s="7"/>
      <c r="AF70" s="7"/>
      <c r="AG70" s="7"/>
      <c r="AH70" s="7"/>
      <c r="AI70" s="7"/>
      <c r="AJ70" s="7"/>
      <c r="AK70" s="7"/>
      <c r="AL70" s="7"/>
      <c r="AM70" s="7"/>
      <c r="AN70" s="7"/>
      <c r="AO70" s="7"/>
      <c r="AP70" s="7"/>
      <c r="AQ70" s="7"/>
      <c r="AR70" s="7"/>
      <c r="AS70" s="7"/>
      <c r="AT70" s="7"/>
      <c r="AU70" s="7"/>
      <c r="AV70" s="7"/>
      <c r="AW70" s="7"/>
      <c r="AX70" s="7"/>
      <c r="AY70" s="7"/>
      <c r="AZ70" s="7"/>
    </row>
    <row r="71" spans="1:53">
      <c r="A71" s="7"/>
      <c r="B71" s="16"/>
      <c r="C71" s="166"/>
      <c r="D71" s="156"/>
      <c r="E71" s="157" t="s">
        <v>22</v>
      </c>
      <c r="F71" s="158"/>
      <c r="G71" s="155">
        <f t="shared" si="39"/>
        <v>0</v>
      </c>
      <c r="H71" s="163"/>
      <c r="I71" s="147"/>
      <c r="J71" s="216"/>
      <c r="K71" s="156">
        <v>7700000</v>
      </c>
      <c r="L71" s="157" t="s">
        <v>22</v>
      </c>
      <c r="M71" s="158">
        <v>9999999</v>
      </c>
      <c r="N71" s="155">
        <f>IF(AND(K71="",M71=""),0,IF(O52&lt;=20000000,0,IF(K71="",IF(O53&lt;=M71,1,0),IF(M71="",IF(O53&gt;=K71,1,0),IF(AND(O53&gt;=K71,O53&lt;=M71),1,0)))))</f>
        <v>0</v>
      </c>
      <c r="O71" s="159">
        <f>IF(N71=1,ROUNDDOWN(O53*0.95-1255000,0),0)</f>
        <v>0</v>
      </c>
      <c r="P71" s="147"/>
      <c r="Q71" s="219"/>
      <c r="R71" s="156">
        <v>7700000</v>
      </c>
      <c r="S71" s="157" t="s">
        <v>22</v>
      </c>
      <c r="T71" s="158">
        <v>9999999</v>
      </c>
      <c r="U71" s="155">
        <f>IF(AND(R71="",T71=""),0,IF(V52&lt;=20000000,0,IF(R71="",IF(V53&lt;=T71,1,0),IF(T71="",IF(V53&gt;=R71,1,0),IF(AND(V53&gt;=R71,V53&lt;=T71),1,0)))))</f>
        <v>0</v>
      </c>
      <c r="V71" s="159">
        <f>IF(U71=1,ROUNDDOWN(V53*0.95-1255000,0),0)</f>
        <v>0</v>
      </c>
      <c r="Y71" s="7"/>
      <c r="Z71" s="7"/>
      <c r="AA71" s="7"/>
      <c r="AB71" s="7"/>
      <c r="AC71" s="7"/>
      <c r="AD71" s="7"/>
      <c r="AE71" s="7"/>
      <c r="AF71" s="7"/>
      <c r="AG71" s="7"/>
      <c r="AH71" s="7"/>
      <c r="AI71" s="7"/>
      <c r="AJ71" s="7"/>
      <c r="AK71" s="7"/>
      <c r="AL71" s="7"/>
      <c r="AM71" s="7"/>
      <c r="AN71" s="7"/>
      <c r="AO71" s="7"/>
      <c r="AP71" s="7"/>
      <c r="AQ71" s="7"/>
      <c r="AR71" s="7"/>
      <c r="AS71" s="7"/>
      <c r="AT71" s="7"/>
      <c r="AU71" s="7"/>
      <c r="AV71" s="7"/>
      <c r="AW71" s="7"/>
      <c r="AX71" s="7"/>
      <c r="AY71" s="7"/>
      <c r="AZ71" s="7"/>
    </row>
    <row r="72" spans="1:53">
      <c r="A72" s="7"/>
      <c r="B72" s="16"/>
      <c r="C72" s="166"/>
      <c r="D72" s="156"/>
      <c r="E72" s="157" t="s">
        <v>22</v>
      </c>
      <c r="F72" s="158"/>
      <c r="G72" s="155">
        <f t="shared" si="39"/>
        <v>0</v>
      </c>
      <c r="H72" s="163"/>
      <c r="I72" s="147"/>
      <c r="J72" s="216"/>
      <c r="K72" s="156">
        <v>10000000</v>
      </c>
      <c r="L72" s="157" t="s">
        <v>22</v>
      </c>
      <c r="M72" s="158"/>
      <c r="N72" s="155">
        <f>IF(AND(K72="",M72=""),0,IF(O52&lt;=20000000,0,IF(K72="",IF(O53&lt;=M72,1,0),IF(M72="",IF(O53&gt;=K72,1,0),IF(AND(O53&gt;=K72,O53&lt;=M72),1,0)))))</f>
        <v>0</v>
      </c>
      <c r="O72" s="159">
        <f>IF(N72=1,O53-1755000,0)</f>
        <v>0</v>
      </c>
      <c r="P72" s="147"/>
      <c r="Q72" s="219"/>
      <c r="R72" s="156">
        <v>10000000</v>
      </c>
      <c r="S72" s="157" t="s">
        <v>22</v>
      </c>
      <c r="T72" s="158"/>
      <c r="U72" s="155">
        <f>IF(AND(R72="",T72=""),0,IF(V52&lt;=20000000,0,IF(R72="",IF(V53&lt;=T72,1,0),IF(T72="",IF(V53&gt;=R72,1,0),IF(AND(V53&gt;=R72,V53&lt;=T72),1,0)))))</f>
        <v>0</v>
      </c>
      <c r="V72" s="159">
        <f>IF(U72=1,V53-1755000,0)</f>
        <v>0</v>
      </c>
      <c r="Y72" s="7"/>
      <c r="Z72" s="7"/>
      <c r="AA72" s="7"/>
      <c r="AB72" s="7"/>
      <c r="AC72" s="7"/>
      <c r="AD72" s="7"/>
      <c r="AE72" s="7"/>
      <c r="AF72" s="7"/>
      <c r="AG72" s="7"/>
      <c r="AH72" s="7"/>
      <c r="AI72" s="7"/>
      <c r="AJ72" s="7"/>
      <c r="AK72" s="7"/>
      <c r="AL72" s="7"/>
      <c r="AM72" s="7"/>
      <c r="AN72" s="7"/>
      <c r="AO72" s="7"/>
      <c r="AP72" s="7"/>
      <c r="AQ72" s="7"/>
      <c r="AR72" s="7"/>
      <c r="AS72" s="7"/>
      <c r="AT72" s="7"/>
      <c r="AU72" s="7"/>
      <c r="AV72" s="7"/>
      <c r="AW72" s="7"/>
      <c r="AX72" s="7"/>
      <c r="AY72" s="7"/>
      <c r="AZ72" s="7"/>
    </row>
    <row r="73" spans="1:53">
      <c r="A73" s="7"/>
      <c r="B73" s="16"/>
      <c r="C73" s="166"/>
      <c r="D73" s="156"/>
      <c r="E73" s="157" t="s">
        <v>22</v>
      </c>
      <c r="F73" s="158"/>
      <c r="G73" s="155">
        <f t="shared" si="39"/>
        <v>0</v>
      </c>
      <c r="H73" s="159"/>
      <c r="I73" s="147"/>
      <c r="J73" s="216"/>
      <c r="K73" s="156"/>
      <c r="L73" s="157" t="s">
        <v>22</v>
      </c>
      <c r="M73" s="158"/>
      <c r="N73" s="155"/>
      <c r="O73" s="159"/>
      <c r="P73" s="147"/>
      <c r="Q73" s="219"/>
      <c r="R73" s="156"/>
      <c r="S73" s="157" t="s">
        <v>22</v>
      </c>
      <c r="T73" s="158"/>
      <c r="U73" s="155"/>
      <c r="V73" s="159"/>
      <c r="Y73" s="7"/>
      <c r="Z73" s="7"/>
      <c r="AA73" s="7"/>
      <c r="AB73" s="7"/>
      <c r="AC73" s="7"/>
      <c r="AD73" s="7"/>
      <c r="AE73" s="7"/>
      <c r="AF73" s="7"/>
      <c r="AG73" s="7"/>
      <c r="AH73" s="7"/>
      <c r="AI73" s="7"/>
      <c r="AJ73" s="7"/>
      <c r="AK73" s="7"/>
      <c r="AL73" s="7"/>
      <c r="AM73" s="7"/>
      <c r="AN73" s="7"/>
      <c r="AO73" s="7"/>
      <c r="AP73" s="7"/>
      <c r="AQ73" s="7"/>
      <c r="AR73" s="7"/>
      <c r="AS73" s="7"/>
      <c r="AT73" s="7"/>
      <c r="AU73" s="7"/>
      <c r="AV73" s="7"/>
      <c r="AW73" s="7"/>
      <c r="AX73" s="7"/>
      <c r="AY73" s="7"/>
      <c r="AZ73" s="7"/>
    </row>
    <row r="74" spans="1:53">
      <c r="A74" s="7"/>
      <c r="B74" s="16"/>
      <c r="C74" s="166"/>
      <c r="D74" s="156"/>
      <c r="E74" s="157" t="s">
        <v>22</v>
      </c>
      <c r="F74" s="158"/>
      <c r="G74" s="155">
        <f t="shared" si="39"/>
        <v>0</v>
      </c>
      <c r="H74" s="159"/>
      <c r="I74" s="147"/>
      <c r="J74" s="216"/>
      <c r="K74" s="156"/>
      <c r="L74" s="157" t="s">
        <v>22</v>
      </c>
      <c r="M74" s="158"/>
      <c r="N74" s="155"/>
      <c r="O74" s="159"/>
      <c r="P74" s="147"/>
      <c r="Q74" s="220"/>
      <c r="R74" s="156"/>
      <c r="S74" s="157" t="s">
        <v>22</v>
      </c>
      <c r="T74" s="158"/>
      <c r="U74" s="155"/>
      <c r="V74" s="159"/>
      <c r="Y74" s="7"/>
      <c r="Z74" s="7"/>
      <c r="AA74" s="7"/>
      <c r="AB74" s="7"/>
      <c r="AC74" s="7"/>
      <c r="AD74" s="7"/>
      <c r="AE74" s="7"/>
      <c r="AF74" s="7"/>
      <c r="AG74" s="7"/>
      <c r="AH74" s="7"/>
      <c r="AI74" s="7"/>
      <c r="AJ74" s="7"/>
      <c r="AK74" s="7"/>
      <c r="AL74" s="7"/>
      <c r="AM74" s="7"/>
      <c r="AN74" s="7"/>
      <c r="AO74" s="7"/>
      <c r="AP74" s="7"/>
      <c r="AQ74" s="7"/>
      <c r="AR74" s="7"/>
      <c r="AS74" s="7"/>
      <c r="AT74" s="7"/>
      <c r="AU74" s="7"/>
      <c r="AV74" s="7"/>
      <c r="AW74" s="7"/>
      <c r="AX74" s="7"/>
      <c r="AY74" s="7"/>
      <c r="AZ74" s="7"/>
    </row>
    <row r="75" spans="1:53">
      <c r="A75" s="7"/>
      <c r="B75" s="16"/>
      <c r="C75" s="212" t="s">
        <v>20</v>
      </c>
      <c r="D75" s="213"/>
      <c r="E75" s="213"/>
      <c r="F75" s="213"/>
      <c r="G75" s="213"/>
      <c r="H75" s="151">
        <f>SUM(H55:H74)</f>
        <v>0</v>
      </c>
      <c r="I75" s="147"/>
      <c r="J75" s="214" t="s">
        <v>21</v>
      </c>
      <c r="K75" s="215"/>
      <c r="L75" s="215"/>
      <c r="M75" s="215"/>
      <c r="N75" s="212"/>
      <c r="O75" s="151">
        <f>SUM(O55:O74)</f>
        <v>0</v>
      </c>
      <c r="P75" s="147"/>
      <c r="Q75" s="214" t="s">
        <v>21</v>
      </c>
      <c r="R75" s="215"/>
      <c r="S75" s="215"/>
      <c r="T75" s="215"/>
      <c r="U75" s="212"/>
      <c r="V75" s="151">
        <f>SUM(V55:V74)</f>
        <v>0</v>
      </c>
      <c r="Y75" s="7"/>
      <c r="Z75" s="7"/>
      <c r="AA75" s="7"/>
      <c r="AB75" s="7"/>
      <c r="AC75" s="7"/>
      <c r="AD75" s="7"/>
      <c r="AE75" s="7"/>
      <c r="AF75" s="7"/>
      <c r="AG75" s="7"/>
      <c r="AH75" s="7"/>
      <c r="AI75" s="7"/>
      <c r="AJ75" s="7"/>
      <c r="AK75" s="7"/>
      <c r="AL75" s="7"/>
      <c r="AM75" s="7"/>
      <c r="AN75" s="7"/>
      <c r="AO75" s="7"/>
      <c r="AP75" s="7"/>
      <c r="AQ75" s="7"/>
      <c r="AR75" s="7"/>
      <c r="AS75" s="7"/>
      <c r="AT75" s="7"/>
      <c r="AU75" s="7"/>
      <c r="AV75" s="7"/>
      <c r="AW75" s="7"/>
      <c r="AX75" s="7"/>
      <c r="AY75" s="7"/>
      <c r="AZ75" s="7"/>
    </row>
    <row r="76" spans="1:53">
      <c r="C76" s="164"/>
      <c r="D76" s="165"/>
      <c r="E76" s="165"/>
      <c r="F76" s="165"/>
      <c r="G76" s="165"/>
      <c r="H76" s="165"/>
      <c r="I76" s="165"/>
      <c r="J76" s="165"/>
      <c r="K76" s="165"/>
      <c r="L76" s="165"/>
      <c r="M76" s="165"/>
      <c r="N76" s="165"/>
      <c r="O76" s="165"/>
      <c r="P76" s="165"/>
      <c r="Q76" s="165"/>
      <c r="R76" s="165"/>
      <c r="S76" s="165"/>
      <c r="T76" s="165"/>
      <c r="U76" s="165"/>
      <c r="V76" s="165"/>
      <c r="Y76" s="7"/>
      <c r="Z76" s="7"/>
      <c r="AA76" s="7"/>
      <c r="AB76" s="7"/>
      <c r="AC76" s="7"/>
      <c r="AD76" s="7"/>
      <c r="AE76" s="7"/>
      <c r="AF76" s="7"/>
      <c r="AG76" s="7"/>
      <c r="AH76" s="7"/>
      <c r="AI76" s="7"/>
      <c r="AJ76" s="7"/>
      <c r="AK76" s="7"/>
      <c r="AL76" s="7"/>
      <c r="AM76" s="7"/>
      <c r="AN76" s="7"/>
      <c r="AO76" s="7"/>
      <c r="AP76" s="7"/>
      <c r="AQ76" s="7"/>
      <c r="AR76" s="7"/>
      <c r="AS76" s="7"/>
      <c r="AT76" s="7"/>
      <c r="AU76" s="7"/>
      <c r="AV76" s="7"/>
      <c r="AW76" s="7"/>
      <c r="AX76" s="7"/>
      <c r="AY76" s="7"/>
      <c r="AZ76" s="7"/>
    </row>
    <row r="77" spans="1:53">
      <c r="A77" s="7"/>
      <c r="B77" s="7" t="s">
        <v>28</v>
      </c>
      <c r="C77" s="144"/>
      <c r="D77" s="145" t="str">
        <f>IF(C79=0,"空欄",Z83)</f>
        <v>空欄</v>
      </c>
      <c r="E77" s="146" t="s">
        <v>29</v>
      </c>
      <c r="F77" s="146"/>
      <c r="G77" s="146"/>
      <c r="H77" s="146"/>
      <c r="I77" s="147"/>
      <c r="J77" s="147"/>
      <c r="K77" s="148" t="s">
        <v>14</v>
      </c>
      <c r="L77" s="147"/>
      <c r="M77" s="149"/>
      <c r="N77" s="150" t="s">
        <v>15</v>
      </c>
      <c r="O77" s="151">
        <f>H100+C82</f>
        <v>0</v>
      </c>
      <c r="P77" s="147"/>
      <c r="Q77" s="147"/>
      <c r="R77" s="147" t="s">
        <v>16</v>
      </c>
      <c r="S77" s="147"/>
      <c r="T77" s="149"/>
      <c r="U77" s="150" t="s">
        <v>15</v>
      </c>
      <c r="V77" s="151">
        <f>H100+C81</f>
        <v>0</v>
      </c>
      <c r="Y77" s="7"/>
      <c r="Z77" s="7"/>
      <c r="AA77" s="7"/>
      <c r="AB77" s="7"/>
      <c r="AC77" s="7"/>
      <c r="AD77" s="7"/>
      <c r="AE77" s="7"/>
      <c r="AF77" s="7"/>
      <c r="AG77" s="7"/>
      <c r="AH77" s="7"/>
      <c r="AI77" s="7"/>
      <c r="AJ77" s="7"/>
      <c r="AK77" s="7"/>
      <c r="AL77" s="7"/>
      <c r="AM77" s="7"/>
      <c r="AN77" s="7"/>
      <c r="AO77" s="7"/>
      <c r="AP77" s="7"/>
      <c r="AQ77" s="7"/>
      <c r="AR77" s="7"/>
      <c r="AS77" s="7"/>
      <c r="AT77" s="7"/>
      <c r="AU77" s="7"/>
      <c r="AV77" s="7"/>
      <c r="AW77" s="7"/>
      <c r="AX77" s="7"/>
      <c r="AY77" s="7"/>
      <c r="AZ77" s="7"/>
    </row>
    <row r="78" spans="1:53" ht="13.5" customHeight="1">
      <c r="A78" s="7" t="s">
        <v>38</v>
      </c>
      <c r="B78" s="16"/>
      <c r="C78" s="152" t="s">
        <v>131</v>
      </c>
      <c r="D78" s="213" t="s">
        <v>17</v>
      </c>
      <c r="E78" s="213"/>
      <c r="F78" s="213"/>
      <c r="G78" s="213"/>
      <c r="H78" s="153">
        <f>C80</f>
        <v>0</v>
      </c>
      <c r="I78" s="147"/>
      <c r="J78" s="217" t="s">
        <v>33</v>
      </c>
      <c r="K78" s="213" t="s">
        <v>31</v>
      </c>
      <c r="L78" s="213"/>
      <c r="M78" s="213"/>
      <c r="N78" s="213"/>
      <c r="O78" s="154">
        <f>IF(D77&lt;65,C81,0)</f>
        <v>0</v>
      </c>
      <c r="P78" s="147"/>
      <c r="Q78" s="216" t="s">
        <v>34</v>
      </c>
      <c r="R78" s="213" t="s">
        <v>31</v>
      </c>
      <c r="S78" s="213"/>
      <c r="T78" s="213"/>
      <c r="U78" s="213"/>
      <c r="V78" s="154">
        <f>IF(D77&gt;=65,C81,0)</f>
        <v>0</v>
      </c>
      <c r="Y78" s="7"/>
      <c r="Z78" s="7"/>
      <c r="AA78" s="7"/>
      <c r="AB78" s="7"/>
      <c r="AC78" s="7"/>
      <c r="AD78" s="7"/>
      <c r="AE78" s="7"/>
      <c r="AF78" s="7"/>
      <c r="AG78" s="7"/>
      <c r="AH78" s="7"/>
      <c r="AI78" s="7"/>
      <c r="AJ78" s="7"/>
      <c r="AK78" s="7"/>
      <c r="AL78" s="7"/>
      <c r="AM78" s="7"/>
      <c r="AN78" s="7"/>
      <c r="AO78" s="7"/>
      <c r="AP78" s="7"/>
      <c r="AQ78" s="7"/>
      <c r="AR78" s="7"/>
      <c r="AS78" s="7"/>
      <c r="AT78" s="7"/>
      <c r="AU78" s="7"/>
      <c r="AV78" s="7"/>
      <c r="AW78" s="7"/>
      <c r="AX78" s="7"/>
      <c r="AY78" s="7"/>
      <c r="AZ78" s="7"/>
    </row>
    <row r="79" spans="1:53" ht="14.25" thickBot="1">
      <c r="A79" s="7"/>
      <c r="B79" s="2" t="s">
        <v>44</v>
      </c>
      <c r="C79" s="152">
        <f>簡易試算シート!C12</f>
        <v>0</v>
      </c>
      <c r="D79" s="215" t="s">
        <v>18</v>
      </c>
      <c r="E79" s="215"/>
      <c r="F79" s="212"/>
      <c r="G79" s="155" t="s">
        <v>19</v>
      </c>
      <c r="H79" s="155" t="s">
        <v>20</v>
      </c>
      <c r="I79" s="147"/>
      <c r="J79" s="216"/>
      <c r="K79" s="215" t="s">
        <v>18</v>
      </c>
      <c r="L79" s="215"/>
      <c r="M79" s="212"/>
      <c r="N79" s="155" t="s">
        <v>19</v>
      </c>
      <c r="O79" s="155" t="s">
        <v>20</v>
      </c>
      <c r="P79" s="147"/>
      <c r="Q79" s="216"/>
      <c r="R79" s="215"/>
      <c r="S79" s="215"/>
      <c r="T79" s="212"/>
      <c r="U79" s="155" t="s">
        <v>19</v>
      </c>
      <c r="V79" s="155" t="s">
        <v>21</v>
      </c>
      <c r="Y79" s="7"/>
      <c r="Z79" s="7"/>
      <c r="AA79" s="7"/>
      <c r="AB79" s="7"/>
      <c r="AC79" s="7"/>
      <c r="AD79" s="7"/>
      <c r="AE79" s="7"/>
      <c r="AF79" s="7"/>
      <c r="AG79" s="7"/>
      <c r="AH79" s="7"/>
      <c r="AI79" s="7"/>
      <c r="AJ79" s="7"/>
      <c r="AK79" s="7"/>
      <c r="AL79" s="7"/>
      <c r="AM79" s="7"/>
      <c r="AN79" s="7"/>
      <c r="AO79" s="7"/>
      <c r="AP79" s="7"/>
      <c r="AQ79" s="7"/>
      <c r="AR79" s="7"/>
      <c r="AS79" s="7"/>
      <c r="AT79" s="7"/>
      <c r="AU79" s="7"/>
      <c r="AV79" s="7"/>
      <c r="AW79" s="7"/>
      <c r="AX79" s="7"/>
      <c r="AY79" s="7"/>
      <c r="AZ79" s="7"/>
    </row>
    <row r="80" spans="1:53">
      <c r="A80" s="7"/>
      <c r="B80" s="2" t="s">
        <v>45</v>
      </c>
      <c r="C80" s="152">
        <f>簡易試算シート!D12</f>
        <v>0</v>
      </c>
      <c r="D80" s="11"/>
      <c r="E80" s="12" t="s">
        <v>22</v>
      </c>
      <c r="F80" s="13">
        <v>650999</v>
      </c>
      <c r="G80" s="155">
        <f t="shared" ref="G80:G99" si="40">IF(AND(D80="",F80=""),0,IF(D80="",IF($H$78&lt;=F80,1,0),IF(F80="",IF($H$78&gt;=D80,1,0),IF(AND($H$78&gt;=D80,$H$78&lt;=F80),1,0))))</f>
        <v>1</v>
      </c>
      <c r="H80" s="159">
        <f>IF(G80=1,0,0)</f>
        <v>0</v>
      </c>
      <c r="I80" s="147"/>
      <c r="J80" s="216"/>
      <c r="K80" s="160"/>
      <c r="L80" s="157" t="s">
        <v>23</v>
      </c>
      <c r="M80" s="161"/>
      <c r="N80" s="155"/>
      <c r="O80" s="159"/>
      <c r="P80" s="147"/>
      <c r="Q80" s="216"/>
      <c r="R80" s="156"/>
      <c r="S80" s="157" t="s">
        <v>23</v>
      </c>
      <c r="T80" s="158"/>
      <c r="U80" s="155"/>
      <c r="V80" s="159"/>
      <c r="Y80" s="45"/>
      <c r="Z80" s="46" t="s">
        <v>49</v>
      </c>
      <c r="AA80" s="46" t="s">
        <v>50</v>
      </c>
      <c r="AB80" s="47" t="s">
        <v>51</v>
      </c>
      <c r="AC80" s="47" t="s">
        <v>52</v>
      </c>
      <c r="AD80" s="47" t="s">
        <v>53</v>
      </c>
      <c r="AE80" s="47" t="s">
        <v>54</v>
      </c>
      <c r="AF80" s="47" t="s">
        <v>55</v>
      </c>
      <c r="AG80" s="47" t="s">
        <v>56</v>
      </c>
      <c r="AH80" s="47" t="s">
        <v>57</v>
      </c>
      <c r="AI80" s="47" t="s">
        <v>58</v>
      </c>
      <c r="AJ80" s="47" t="s">
        <v>59</v>
      </c>
      <c r="AK80" s="47" t="s">
        <v>60</v>
      </c>
      <c r="AL80" s="47" t="s">
        <v>61</v>
      </c>
      <c r="AM80" s="47" t="s">
        <v>62</v>
      </c>
      <c r="AN80" s="47" t="s">
        <v>63</v>
      </c>
      <c r="AO80" s="47" t="s">
        <v>64</v>
      </c>
      <c r="AP80" s="222" t="s">
        <v>65</v>
      </c>
      <c r="AQ80" s="222"/>
      <c r="AR80" s="47"/>
      <c r="AS80" s="48" t="s">
        <v>66</v>
      </c>
      <c r="AT80" s="48" t="s">
        <v>67</v>
      </c>
      <c r="AU80" s="47"/>
      <c r="AV80" s="47"/>
      <c r="AW80" s="47"/>
      <c r="AX80" s="49" t="s">
        <v>68</v>
      </c>
      <c r="AY80" s="49" t="s">
        <v>69</v>
      </c>
      <c r="AZ80" s="49" t="s">
        <v>70</v>
      </c>
      <c r="BA80" s="176" t="s">
        <v>202</v>
      </c>
    </row>
    <row r="81" spans="1:53">
      <c r="A81" s="7"/>
      <c r="B81" s="2" t="s">
        <v>46</v>
      </c>
      <c r="C81" s="152">
        <f>簡易試算シート!E12</f>
        <v>0</v>
      </c>
      <c r="D81" s="11">
        <v>651000</v>
      </c>
      <c r="E81" s="12" t="s">
        <v>22</v>
      </c>
      <c r="F81" s="13">
        <v>1899999</v>
      </c>
      <c r="G81" s="155">
        <f t="shared" si="40"/>
        <v>0</v>
      </c>
      <c r="H81" s="167">
        <f>IF(G81=1,H78-650000,0)</f>
        <v>0</v>
      </c>
      <c r="I81" s="147"/>
      <c r="J81" s="216"/>
      <c r="K81" s="156"/>
      <c r="L81" s="157" t="s">
        <v>22</v>
      </c>
      <c r="M81" s="158">
        <v>1299999</v>
      </c>
      <c r="N81" s="155">
        <f>IF(AND(K81="",M81=""),0,IF(O77&gt;10000000,0,IF(K81="",IF(O78&lt;=M81,1,0),IF(M81="",IF(O78&gt;=K81,1,0),IF(AND(O78&gt;=K81,O78&lt;=M81),1,0)))))</f>
        <v>1</v>
      </c>
      <c r="O81" s="159">
        <f>IF(N81=1,IF(O78-600000&gt;0,O78-600000,0),0)</f>
        <v>0</v>
      </c>
      <c r="P81" s="147"/>
      <c r="Q81" s="216"/>
      <c r="R81" s="156"/>
      <c r="S81" s="157" t="s">
        <v>22</v>
      </c>
      <c r="T81" s="158">
        <v>3299999</v>
      </c>
      <c r="U81" s="155">
        <f>IF(AND(R81="",T81=""),0,IF(V77&gt;10000000,0,IF(R81="",IF(V78&lt;=T81,1,0),IF(T81="",IF(V78&gt;=R81,1,0),IF(AND(V78&gt;=R81,V78&lt;=T81),1,0)))))</f>
        <v>1</v>
      </c>
      <c r="V81" s="159">
        <f>IF(U81=1,IF(V78-1100000&gt;0,V78-1100000,0),0)</f>
        <v>0</v>
      </c>
      <c r="X81" t="s">
        <v>126</v>
      </c>
      <c r="Y81" s="50" t="s">
        <v>71</v>
      </c>
      <c r="Z81" s="51">
        <f>DATE(YEAR(C79)+40,MONTH(C79),DAY(C79))</f>
        <v>14610</v>
      </c>
      <c r="AA81" s="52">
        <f>DATE(YEAR(C79)+65,MONTH(C79),DAY(C79)-1)</f>
        <v>23741</v>
      </c>
      <c r="AB81" s="65">
        <f>IF(AND($Z81&lt;=AO$4,AO$3&lt;$AA81,AB82=1),1,IF(AND($Z81&lt;=AO$4,AO$3&lt;$AA81,AB82=2),2,0))</f>
        <v>0</v>
      </c>
      <c r="AC81" s="65">
        <f t="shared" ref="AC81" si="41">IF(AND($Z81&lt;=AP$4,AP$3&lt;$AA81,AC82=1),1,IF(AND($Z81&lt;=AP$4,AP$3&lt;$AA81,AC82=2),2,0))</f>
        <v>0</v>
      </c>
      <c r="AD81" s="65">
        <f t="shared" ref="AD81" si="42">IF(AND($Z81&lt;=AQ$4,AQ$3&lt;$AA81,AD82=1),1,IF(AND($Z81&lt;=AQ$4,AQ$3&lt;$AA81,AD82=2),2,0))</f>
        <v>0</v>
      </c>
      <c r="AE81" s="65">
        <f t="shared" ref="AE81" si="43">IF(AND($Z81&lt;=AR$4,AR$3&lt;$AA81,AE82=1),1,IF(AND($Z81&lt;=AR$4,AR$3&lt;$AA81,AE82=2),2,0))</f>
        <v>0</v>
      </c>
      <c r="AF81" s="65">
        <f t="shared" ref="AF81" si="44">IF(AND($Z81&lt;=AS$4,AS$3&lt;$AA81,AF82=1),1,IF(AND($Z81&lt;=AS$4,AS$3&lt;$AA81,AF82=2),2,0))</f>
        <v>0</v>
      </c>
      <c r="AG81" s="65">
        <f t="shared" ref="AG81" si="45">IF(AND($Z81&lt;=AT$4,AT$3&lt;$AA81,AG82=1),1,IF(AND($Z81&lt;=AT$4,AT$3&lt;$AA81,AG82=2),2,0))</f>
        <v>0</v>
      </c>
      <c r="AH81" s="65">
        <f t="shared" ref="AH81" si="46">IF(AND($Z81&lt;=AU$4,AU$3&lt;$AA81,AH82=1),1,IF(AND($Z81&lt;=AU$4,AU$3&lt;$AA81,AH82=2),2,0))</f>
        <v>0</v>
      </c>
      <c r="AI81" s="65">
        <f t="shared" ref="AI81" si="47">IF(AND($Z81&lt;=AV$4,AV$3&lt;$AA81,AI82=1),1,IF(AND($Z81&lt;=AV$4,AV$3&lt;$AA81,AI82=2),2,0))</f>
        <v>0</v>
      </c>
      <c r="AJ81" s="65">
        <f t="shared" ref="AJ81" si="48">IF(AND($Z81&lt;=AW$4,AW$3&lt;$AA81,AJ82=1),1,IF(AND($Z81&lt;=AW$4,AW$3&lt;$AA81,AJ82=2),2,0))</f>
        <v>0</v>
      </c>
      <c r="AK81" s="65">
        <f>IF(AND($Z81&lt;=AX$4,AX$3&lt;$AA81,AK82=1),1,IF(AND($Z81&lt;=AX$4,AX$3&lt;$AA81,AK82=2),2,0))</f>
        <v>0</v>
      </c>
      <c r="AL81" s="65">
        <f t="shared" ref="AL81" si="49">IF(AND($Z81&lt;=AY$4,AY$3&lt;$AA81,AL82=1),1,IF(AND($Z81&lt;=AY$4,AY$3&lt;$AA81,AL82=2),2,0))</f>
        <v>0</v>
      </c>
      <c r="AM81" s="65">
        <f t="shared" ref="AM81" si="50">IF(AND($Z81&lt;=AZ$4,AZ$3&lt;$AA81,AM82=1),1,IF(AND($Z81&lt;=AZ$4,AZ$3&lt;$AA81,AM82=2),2,0))</f>
        <v>0</v>
      </c>
      <c r="AN81" s="54">
        <f>COUNTIF(AB81:AM81,1)</f>
        <v>0</v>
      </c>
      <c r="AO81" s="55">
        <f>IF(AN81&gt;0,1,0)</f>
        <v>0</v>
      </c>
      <c r="AP81" s="20" t="s">
        <v>72</v>
      </c>
      <c r="AQ81" s="71"/>
      <c r="AR81" s="20" t="s">
        <v>73</v>
      </c>
      <c r="AS81" s="37">
        <f>H100</f>
        <v>0</v>
      </c>
      <c r="AT81" s="43">
        <f>MAX(IF(AND(Z84=1,Z85=0),AR85+AP84+AS83+IF(AS84&gt;150000,AS84-150000,0),IF(AND(Z84=1,Z85=1),AS85+AP84+AS83+IF(AS84&gt;150000,AS84-150000,0),0)),0)</f>
        <v>0</v>
      </c>
      <c r="AU81" s="56"/>
      <c r="AV81" s="56"/>
      <c r="AW81" s="57" t="s">
        <v>74</v>
      </c>
      <c r="AX81" s="75">
        <f>(AN82-AN84)/12*AU84*$AG$2</f>
        <v>0</v>
      </c>
      <c r="AY81" s="75">
        <f>(AN82-AN84)/12*AU84*$AH$2</f>
        <v>0</v>
      </c>
      <c r="AZ81" s="75">
        <f>IF(AO81=0,0,(AN81-AN83)/12*AU84*$AI$2)</f>
        <v>0</v>
      </c>
      <c r="BA81" s="181">
        <f>(AN82-AN84)/12*AU84*$AE$2</f>
        <v>0</v>
      </c>
    </row>
    <row r="82" spans="1:53">
      <c r="A82" s="7"/>
      <c r="B82" s="2" t="s">
        <v>47</v>
      </c>
      <c r="C82" s="152">
        <f>簡易試算シート!F12</f>
        <v>0</v>
      </c>
      <c r="D82" s="168"/>
      <c r="E82" s="169"/>
      <c r="F82" s="170"/>
      <c r="G82" s="171"/>
      <c r="H82" s="172"/>
      <c r="I82" s="147"/>
      <c r="J82" s="216"/>
      <c r="K82" s="156">
        <v>1300000</v>
      </c>
      <c r="L82" s="157" t="s">
        <v>22</v>
      </c>
      <c r="M82" s="158">
        <v>4099999</v>
      </c>
      <c r="N82" s="155">
        <f>IF(AND(K82="",M82=""),0,IF(O77&gt;10000000,0,IF(K82="",IF(O78&lt;=M82,1,0),IF(M82="",IF(O78&gt;=K82,1,0),IF(AND(O78&gt;=K82,O78&lt;=M82),1,0)))))</f>
        <v>0</v>
      </c>
      <c r="O82" s="159">
        <f>IF(N82=1,ROUNDDOWN(O78*0.75-275000,0),0)</f>
        <v>0</v>
      </c>
      <c r="P82" s="147"/>
      <c r="Q82" s="216"/>
      <c r="R82" s="156">
        <v>3300000</v>
      </c>
      <c r="S82" s="157" t="s">
        <v>22</v>
      </c>
      <c r="T82" s="158">
        <v>4099999</v>
      </c>
      <c r="U82" s="155">
        <f>IF(AND(R82="",T82=""),0,IF(V77&gt;10000000,0,IF(R82="",IF(V78&lt;=T82,1,0),IF(T82="",IF(V78&gt;=R82,1,0),IF(AND(V78&gt;=R82,V78&lt;=T82),1,0)))))</f>
        <v>0</v>
      </c>
      <c r="V82" s="159">
        <f>IF(U82=1,ROUNDDOWN(V78*0.75-275000,0),0)</f>
        <v>0</v>
      </c>
      <c r="Y82" s="50" t="s">
        <v>75</v>
      </c>
      <c r="Z82" s="56"/>
      <c r="AA82" s="56"/>
      <c r="AB82" s="53">
        <f>IF(C79=0,0,IF(C78="有",1,IF(C78="無",2,"有無要選択")))</f>
        <v>0</v>
      </c>
      <c r="AC82" s="53">
        <f>AB82</f>
        <v>0</v>
      </c>
      <c r="AD82" s="53">
        <f>AC82</f>
        <v>0</v>
      </c>
      <c r="AE82" s="53">
        <f t="shared" ref="AE82" si="51">AD82</f>
        <v>0</v>
      </c>
      <c r="AF82" s="53">
        <f t="shared" ref="AF82" si="52">AE82</f>
        <v>0</v>
      </c>
      <c r="AG82" s="53">
        <f t="shared" ref="AG82" si="53">AF82</f>
        <v>0</v>
      </c>
      <c r="AH82" s="53">
        <f t="shared" ref="AH82" si="54">AG82</f>
        <v>0</v>
      </c>
      <c r="AI82" s="53">
        <f t="shared" ref="AI82" si="55">AH82</f>
        <v>0</v>
      </c>
      <c r="AJ82" s="53">
        <f t="shared" ref="AJ82" si="56">AI82</f>
        <v>0</v>
      </c>
      <c r="AK82" s="53">
        <f t="shared" ref="AK82" si="57">AJ82</f>
        <v>0</v>
      </c>
      <c r="AL82" s="53">
        <f t="shared" ref="AL82" si="58">AK82</f>
        <v>0</v>
      </c>
      <c r="AM82" s="53">
        <f>AL82</f>
        <v>0</v>
      </c>
      <c r="AN82" s="54">
        <f>COUNTIF(AB82:AM82,1)</f>
        <v>0</v>
      </c>
      <c r="AO82" s="56"/>
      <c r="AP82" s="22" t="s">
        <v>76</v>
      </c>
      <c r="AQ82" s="72"/>
      <c r="AR82" s="36" t="s">
        <v>77</v>
      </c>
      <c r="AS82" s="35">
        <v>0</v>
      </c>
      <c r="AT82" s="24" t="s">
        <v>78</v>
      </c>
      <c r="AU82" s="42">
        <f>AP84+AP85+AS83+AS84</f>
        <v>0</v>
      </c>
      <c r="AV82" s="56"/>
      <c r="AW82" s="59" t="s">
        <v>79</v>
      </c>
      <c r="AX82" s="70"/>
      <c r="AY82" s="70"/>
      <c r="AZ82" s="70"/>
      <c r="BA82" s="182"/>
    </row>
    <row r="83" spans="1:53">
      <c r="A83" s="7"/>
      <c r="B83" s="16"/>
      <c r="C83" s="166"/>
      <c r="D83" s="168"/>
      <c r="E83" s="169"/>
      <c r="F83" s="170"/>
      <c r="G83" s="171"/>
      <c r="H83" s="172"/>
      <c r="I83" s="147"/>
      <c r="J83" s="216"/>
      <c r="K83" s="156">
        <v>4100000</v>
      </c>
      <c r="L83" s="157" t="s">
        <v>22</v>
      </c>
      <c r="M83" s="158">
        <v>7699999</v>
      </c>
      <c r="N83" s="155">
        <f>IF(AND(K83="",M83=""),0,IF(O77&gt;10000000,0,IF(K83="",IF(O78&lt;=M83,1,0),IF(M83="",IF(O78&gt;=K83,1,0),IF(AND(O78&gt;=K83,O78&lt;=M83),1,0)))))</f>
        <v>0</v>
      </c>
      <c r="O83" s="159">
        <f>IF(N83=1,ROUNDDOWN(O78*0.85-685000,0),0)</f>
        <v>0</v>
      </c>
      <c r="P83" s="147"/>
      <c r="Q83" s="216"/>
      <c r="R83" s="156">
        <v>4100000</v>
      </c>
      <c r="S83" s="157" t="s">
        <v>22</v>
      </c>
      <c r="T83" s="158">
        <v>7699999</v>
      </c>
      <c r="U83" s="155">
        <f>IF(AND(R83="",T83=""),0,IF(V77&gt;10000000,0,IF(R83="",IF(V78&lt;=T83,1,0),IF(T83="",IF(V78&gt;=R83,1,0),IF(AND(V78&gt;=R83,V78&lt;=T83),1,0)))))</f>
        <v>0</v>
      </c>
      <c r="V83" s="159">
        <f>IF(U83=1,ROUNDDOWN(V78*0.85-685000,0),0)</f>
        <v>0</v>
      </c>
      <c r="Y83" s="58" t="s">
        <v>80</v>
      </c>
      <c r="Z83" s="55">
        <f>IF(C79=0,0,IF($AB$1&lt;C79,0,DATEDIF(MIN(C79,DATE(YEAR($AB$1),1,1)),DATE(YEAR($AB$1),1,1),"y")))</f>
        <v>0</v>
      </c>
      <c r="AA83" s="59" t="s">
        <v>81</v>
      </c>
      <c r="AB83" s="60">
        <v>0</v>
      </c>
      <c r="AC83" s="60">
        <v>0</v>
      </c>
      <c r="AD83" s="60">
        <v>0</v>
      </c>
      <c r="AE83" s="60">
        <v>0</v>
      </c>
      <c r="AF83" s="60">
        <v>0</v>
      </c>
      <c r="AG83" s="60">
        <v>0</v>
      </c>
      <c r="AH83" s="60">
        <v>0</v>
      </c>
      <c r="AI83" s="60">
        <v>0</v>
      </c>
      <c r="AJ83" s="60">
        <v>0</v>
      </c>
      <c r="AK83" s="60">
        <v>0</v>
      </c>
      <c r="AL83" s="60">
        <v>0</v>
      </c>
      <c r="AM83" s="60">
        <v>0</v>
      </c>
      <c r="AN83" s="60">
        <v>0</v>
      </c>
      <c r="AO83" s="32" t="s">
        <v>82</v>
      </c>
      <c r="AP83" s="33"/>
      <c r="AQ83" s="221" t="s">
        <v>83</v>
      </c>
      <c r="AR83" s="221"/>
      <c r="AS83" s="38">
        <f>O100</f>
        <v>0</v>
      </c>
      <c r="AT83" s="32" t="s">
        <v>84</v>
      </c>
      <c r="AU83" s="33">
        <f>AS82+AP84+AS83+AS84</f>
        <v>0</v>
      </c>
      <c r="AV83" s="56"/>
      <c r="AW83" s="57" t="s">
        <v>85</v>
      </c>
      <c r="AX83" s="76">
        <f>IF(C78="無",0,IF(AN82=0,0,IF(AD85="0",$AG$3*AN82/12,IF($AV$201=0,$AG$3*AN82/12*5/10,$AG$3*AN82/12))))</f>
        <v>0</v>
      </c>
      <c r="AY83" s="76">
        <f>IF(C78="無",0,IF(AN82=0,0,IF(AD85="0",$AH$3*AN82/12,IF($AV$201=0,$AH$3*AN82/12*5/10,$AH$3*AN82/12))))</f>
        <v>0</v>
      </c>
      <c r="AZ83" s="175">
        <f>IF(C78="無",0,IF(AN81&gt;0,$AI$3*AN81/12,0))</f>
        <v>0</v>
      </c>
      <c r="BA83" s="181">
        <f>IF(AF85="1",0,IF(C78="無",0,IF(AN82=0,0,IF(AD85="0",$AE$3*AN82/12,IF($AV$201=0,$AE$3*AN82/12*5/10,$AE$3*AN82/12)))))</f>
        <v>0</v>
      </c>
    </row>
    <row r="84" spans="1:53" ht="33.75">
      <c r="A84" s="7"/>
      <c r="B84" s="16"/>
      <c r="C84" s="166"/>
      <c r="D84" s="168"/>
      <c r="E84" s="169"/>
      <c r="F84" s="170"/>
      <c r="G84" s="171"/>
      <c r="H84" s="172"/>
      <c r="I84" s="147"/>
      <c r="J84" s="216"/>
      <c r="K84" s="156">
        <v>7700000</v>
      </c>
      <c r="L84" s="157" t="s">
        <v>22</v>
      </c>
      <c r="M84" s="158">
        <v>9999999</v>
      </c>
      <c r="N84" s="155">
        <f>IF(AND(K84="",M84=""),0,IF(O77&gt;10000000,0,IF(K84="",IF(O78&lt;=M84,1,0),IF(M84="",IF(O78&gt;=K84,1,0),IF(AND(O78&gt;=K84,O78&lt;=M84),1,0)))))</f>
        <v>0</v>
      </c>
      <c r="O84" s="159">
        <f>IF(N84=1,ROUNDDOWN(O78*0.95-1455000,0),0)</f>
        <v>0</v>
      </c>
      <c r="P84" s="147"/>
      <c r="Q84" s="216"/>
      <c r="R84" s="156">
        <v>7700000</v>
      </c>
      <c r="S84" s="157" t="s">
        <v>22</v>
      </c>
      <c r="T84" s="158">
        <v>9999999</v>
      </c>
      <c r="U84" s="155">
        <f>IF(AND(R84="",T84=""),0,IF(V77&gt;10000000,0,IF(R84="",IF(V78&lt;=T84,1,0),IF(T84="",IF(V78&gt;=R84,1,0),IF(AND(V78&gt;=R84,V78&lt;=T84),1,0)))))</f>
        <v>0</v>
      </c>
      <c r="V84" s="159">
        <f>IF(U84=1,ROUNDDOWN(V78*0.95-1455000,0),0)</f>
        <v>0</v>
      </c>
      <c r="Y84" s="58" t="s">
        <v>86</v>
      </c>
      <c r="Z84" s="55">
        <f>IF(C79=0,0,1)</f>
        <v>0</v>
      </c>
      <c r="AA84" s="61" t="s">
        <v>87</v>
      </c>
      <c r="AB84" s="60">
        <v>0</v>
      </c>
      <c r="AC84" s="60">
        <v>0</v>
      </c>
      <c r="AD84" s="60">
        <v>0</v>
      </c>
      <c r="AE84" s="60">
        <v>0</v>
      </c>
      <c r="AF84" s="60">
        <v>0</v>
      </c>
      <c r="AG84" s="60">
        <v>0</v>
      </c>
      <c r="AH84" s="60">
        <v>0</v>
      </c>
      <c r="AI84" s="60">
        <v>0</v>
      </c>
      <c r="AJ84" s="60">
        <v>0</v>
      </c>
      <c r="AK84" s="60">
        <v>0</v>
      </c>
      <c r="AL84" s="60">
        <v>0</v>
      </c>
      <c r="AM84" s="60">
        <v>0</v>
      </c>
      <c r="AN84" s="60">
        <f>COUNTIF(AB84:AM84,1)</f>
        <v>0</v>
      </c>
      <c r="AO84" s="24" t="s">
        <v>88</v>
      </c>
      <c r="AP84" s="34">
        <f>C82</f>
        <v>0</v>
      </c>
      <c r="AQ84" s="221" t="s">
        <v>89</v>
      </c>
      <c r="AR84" s="221"/>
      <c r="AS84" s="39">
        <f>V100</f>
        <v>0</v>
      </c>
      <c r="AT84" s="24" t="s">
        <v>90</v>
      </c>
      <c r="AU84" s="41">
        <f>IF(C78="無",0,IF(AU82&lt;430000,0,AU82-430000))</f>
        <v>0</v>
      </c>
      <c r="AV84" s="56"/>
      <c r="AW84" s="79" t="s">
        <v>91</v>
      </c>
      <c r="AX84" s="78">
        <f>IF(C78="無",0,IF(AN82=0,0,IF(AD85="0",$AG$3*AN82/12,IF($AV$201=0,$AG$3*AN82/12*5/10,IF($AV$201=7,$AG$3*AN82/12*0.85,IF($AV$201=5,$AG$3*AN82/12*0.75,IF($AV$201=2,$AG$3*AN82/12*0.6,$AG$3*AN82/12)))))))</f>
        <v>0</v>
      </c>
      <c r="AY84" s="78">
        <f>IF(C78="無",0,IF(AN82=0,0,IF(AD85="0",$AH$3*AN82/12,IF($AV$201=0,$AH$3*AN82/12*5/10,IF($AV$201=7,$AH$3*AN82/12*0.85,IF($AV$201=5,$AH$3*AN82/12*0.75,IF($AV$201=2,$AH$3*AN82/12*0.6,$AH$3*AN82/12)))))))</f>
        <v>0</v>
      </c>
      <c r="AZ84" s="56" t="s">
        <v>203</v>
      </c>
      <c r="BA84" s="62" t="s">
        <v>203</v>
      </c>
    </row>
    <row r="85" spans="1:53" ht="33.75">
      <c r="A85" s="7"/>
      <c r="B85" s="16"/>
      <c r="C85" s="166"/>
      <c r="D85" s="168"/>
      <c r="E85" s="169"/>
      <c r="F85" s="170"/>
      <c r="G85" s="171"/>
      <c r="H85" s="172"/>
      <c r="I85" s="147"/>
      <c r="J85" s="216"/>
      <c r="K85" s="156">
        <v>10000000</v>
      </c>
      <c r="L85" s="157" t="s">
        <v>22</v>
      </c>
      <c r="M85" s="158"/>
      <c r="N85" s="155">
        <f>IF(AND(K85="",M85=""),0,IF(O77&gt;10000000,0,IF(K85="",IF(O78&lt;=M85,1,0),IF(M85="",IF(O78&gt;=K85,1,0),IF(AND(O78&gt;=K85,O78&lt;=M85),1,0)))))</f>
        <v>0</v>
      </c>
      <c r="O85" s="159">
        <f>IF(N85=1,O78-1955000,0)</f>
        <v>0</v>
      </c>
      <c r="P85" s="147"/>
      <c r="Q85" s="216"/>
      <c r="R85" s="156">
        <v>10000000</v>
      </c>
      <c r="S85" s="157" t="s">
        <v>22</v>
      </c>
      <c r="T85" s="158"/>
      <c r="U85" s="155">
        <f>IF(AND(R85="",T85=""),0,IF(V77&gt;10000000,0,IF(R85="",IF(V78&lt;=T85,1,0),IF(T85="",IF(V78&gt;=R85,1,0),IF(AND(V78&gt;=R85,V78&lt;=T85),1,0)))))</f>
        <v>0</v>
      </c>
      <c r="V85" s="159">
        <f>IF(U85=1,V78-1955000,0)</f>
        <v>0</v>
      </c>
      <c r="Y85" s="63" t="s">
        <v>92</v>
      </c>
      <c r="Z85" s="60">
        <v>0</v>
      </c>
      <c r="AA85" s="64" t="s">
        <v>93</v>
      </c>
      <c r="AB85" s="130">
        <f>IF(Z84=0,0,IF(H78&gt;550000,1,IF(O78&gt;600000,1,IF(V78&gt;1250000,1,0))))</f>
        <v>0</v>
      </c>
      <c r="AC85" s="77" t="s">
        <v>94</v>
      </c>
      <c r="AD85" s="66" t="str">
        <f>IF(C79&gt;=EDATE($AB$1,-72)+1,"1","0")</f>
        <v>0</v>
      </c>
      <c r="AE85" s="173" t="s">
        <v>201</v>
      </c>
      <c r="AF85" s="174" t="str">
        <f>IF(C79&gt;=EDATE($AB$1,-216)+1,"1","0")</f>
        <v>0</v>
      </c>
      <c r="AG85" s="56"/>
      <c r="AH85" s="56"/>
      <c r="AI85" s="56"/>
      <c r="AJ85" s="56"/>
      <c r="AK85" s="56"/>
      <c r="AL85" s="56"/>
      <c r="AM85" s="56"/>
      <c r="AN85" s="56"/>
      <c r="AO85" s="26" t="s">
        <v>95</v>
      </c>
      <c r="AP85" s="43">
        <f>IF(AND(AS81+AP83&gt;0,AS83+AS84&gt;0),IF(AS81+AP83+AS83+AS84&lt;=100000,AS81+AP83,AS81+AP83-(MIN(AS81+AP83,100000)+MIN(AS83+AS84,100000)-100000)),AS81+AP83)</f>
        <v>0</v>
      </c>
      <c r="AQ85" s="27" t="s">
        <v>96</v>
      </c>
      <c r="AR85" s="43">
        <f>IF(AND(AS81+AP83&gt;0,AS83+AS84-MIN(AS84,150000)&gt;0),IF(AS81+AP83+AS83+AS84-MIN(AS84,150000)&lt;=100000,AS81+AP83,AS81+AP83-(MIN(AS81+AP83,100000)+MIN(AS83+AS84-MIN(AS84,150000),100000)-100000)),AS81+AP83)</f>
        <v>0</v>
      </c>
      <c r="AS85" s="67">
        <f>IF(AND(AS81*30/100&gt;0,AS83+AS84-MIN(AS84,150000)&gt;0),IF(AS81*30/100+AS83+AS84-MIN(AS84,150000)&lt;=100000,AS81*30/100,AS81*30/100-(MIN(AS81*30/100,100000)+MIN(AS83+AS84-MIN(AS84,150000),100000)-100000)),AS81*30/100)</f>
        <v>0</v>
      </c>
      <c r="AT85" s="32" t="s">
        <v>97</v>
      </c>
      <c r="AU85" s="40">
        <f>IF(M85=99,0,IF(AU83&lt;430000,0,AU83-430000))</f>
        <v>0</v>
      </c>
      <c r="AV85" s="56"/>
      <c r="AW85" s="118" t="s">
        <v>163</v>
      </c>
      <c r="AX85" s="56">
        <f>IF($AV$201=0,AX83,IF(OR(C78="無",AN82=0),0,$AG$3*AN82/12*0.1*(10-$AV$201)*IF(AD85="1",0.5,1)))</f>
        <v>0</v>
      </c>
      <c r="AY85" s="56">
        <f>IF($AV$201=0,AY83,IF(OR(C78="無",AN82=0),0,$AH$3*AN82/12*0.1*(10-$AV$201)*IF(AD85="1",0.5,1)))</f>
        <v>0</v>
      </c>
      <c r="AZ85" s="180">
        <f>IF($AV$201=0,AZ83,IF(OR(C78="無",AN81=0),0,$AI$3*AN81/12*0.1*(10-$AV$201)))</f>
        <v>0</v>
      </c>
      <c r="BA85" s="181">
        <f>IF($AV$201=0,BA83,IF(OR(C78="無",AN82=0),0,$AE$3*AN82/12*0.1*(10-$AV$201)))</f>
        <v>0</v>
      </c>
    </row>
    <row r="86" spans="1:53" ht="14.25" thickBot="1">
      <c r="A86" s="7"/>
      <c r="B86" s="16"/>
      <c r="C86" s="166"/>
      <c r="D86" s="168"/>
      <c r="E86" s="169"/>
      <c r="F86" s="170"/>
      <c r="G86" s="171"/>
      <c r="H86" s="172"/>
      <c r="I86" s="147"/>
      <c r="J86" s="216"/>
      <c r="K86" s="156"/>
      <c r="L86" s="162" t="s">
        <v>25</v>
      </c>
      <c r="M86" s="158"/>
      <c r="N86" s="155"/>
      <c r="O86" s="159"/>
      <c r="P86" s="147"/>
      <c r="Q86" s="216"/>
      <c r="R86" s="156"/>
      <c r="S86" s="162" t="s">
        <v>25</v>
      </c>
      <c r="T86" s="158"/>
      <c r="U86" s="155"/>
      <c r="V86" s="159"/>
      <c r="Y86" s="68"/>
      <c r="Z86" s="69"/>
      <c r="AA86" s="69"/>
      <c r="AB86" s="69"/>
      <c r="AC86" s="69"/>
      <c r="AD86" s="69"/>
      <c r="AE86" s="69"/>
      <c r="AF86" s="69"/>
      <c r="AG86" s="69"/>
      <c r="AH86" s="69"/>
      <c r="AI86" s="69"/>
      <c r="AJ86" s="69"/>
      <c r="AK86" s="69"/>
      <c r="AL86" s="69"/>
      <c r="AM86" s="69"/>
      <c r="AN86" s="69"/>
      <c r="AO86" s="69"/>
      <c r="AP86" s="69"/>
      <c r="AQ86" s="69"/>
      <c r="AR86" s="69"/>
      <c r="AS86" s="69"/>
      <c r="AT86" s="69"/>
      <c r="AU86" s="69"/>
      <c r="AV86" s="69"/>
      <c r="AW86" s="69"/>
      <c r="AX86" s="69"/>
      <c r="AY86" s="69"/>
      <c r="AZ86" s="69"/>
      <c r="BA86" s="178"/>
    </row>
    <row r="87" spans="1:53">
      <c r="A87" s="7"/>
      <c r="B87" s="16"/>
      <c r="C87" s="166"/>
      <c r="D87" s="11">
        <v>1900000</v>
      </c>
      <c r="E87" s="157" t="s">
        <v>22</v>
      </c>
      <c r="F87" s="158">
        <v>3599999</v>
      </c>
      <c r="G87" s="155">
        <f t="shared" ref="G87:G94" si="59">IF(AND(D87="",F87=""),0,IF(D87="",IF($H$78&lt;=F87,1,0),IF(F87="",IF($H$78&gt;=D87,1,0),IF(AND($H$78&gt;=D87,$H$78&lt;=F87),1,0))))</f>
        <v>0</v>
      </c>
      <c r="H87" s="163">
        <f>IF(G87=1,ROUNDDOWN(ROUNDDOWN(H78/4,-3)*2.8,0)-80000,0)</f>
        <v>0</v>
      </c>
      <c r="I87" s="147"/>
      <c r="J87" s="216"/>
      <c r="K87" s="156"/>
      <c r="L87" s="157" t="s">
        <v>22</v>
      </c>
      <c r="M87" s="158">
        <v>1299999</v>
      </c>
      <c r="N87" s="155">
        <f>IF(AND(K87="",M87=""),0,IF(O77&lt;=10000000,0,IF(O77&gt;20000000,0,IF(K87="",IF(O78&lt;=M87,1,0),IF(M87="",IF(O78&gt;=K87,1,0),IF(AND(O78&gt;=K87,O78&lt;=M87),1,0))))))</f>
        <v>0</v>
      </c>
      <c r="O87" s="159">
        <f>IF(N87=1,IF(O78-500000&gt;0,O78-500000,0),0)</f>
        <v>0</v>
      </c>
      <c r="P87" s="147"/>
      <c r="Q87" s="216"/>
      <c r="R87" s="156"/>
      <c r="S87" s="157" t="s">
        <v>22</v>
      </c>
      <c r="T87" s="158">
        <v>3299999</v>
      </c>
      <c r="U87" s="155">
        <f>IF(AND(R87="",T87=""),0,IF(V77&lt;=10000000,0,IF(V77&gt;20000000,0,IF(R87="",IF(V78&lt;=T87,1,0),IF(T87="",IF(V78&gt;=R87,1,0),IF(AND(V78&gt;=R87,V78&lt;=T87),1,0))))))</f>
        <v>0</v>
      </c>
      <c r="V87" s="159">
        <f>IF(U87=1,IF(V78-1000000&gt;0,V78-1000000,0),0)</f>
        <v>0</v>
      </c>
      <c r="Y87" s="7"/>
      <c r="Z87" s="7"/>
      <c r="AA87" s="7"/>
      <c r="AB87" s="7"/>
      <c r="AC87" s="7"/>
      <c r="AD87" s="7"/>
      <c r="AE87" s="7"/>
      <c r="AF87" s="7"/>
      <c r="AG87" s="7"/>
      <c r="AH87" s="7"/>
      <c r="AI87" s="7"/>
      <c r="AJ87" s="7"/>
      <c r="AK87" s="7"/>
      <c r="AL87" s="7"/>
      <c r="AM87" s="7"/>
      <c r="AN87" s="7"/>
      <c r="AO87" s="7"/>
      <c r="AP87" s="7"/>
      <c r="AQ87" s="7"/>
      <c r="AR87" s="7"/>
      <c r="AS87" s="7"/>
      <c r="AT87" s="7"/>
      <c r="AU87" s="7"/>
      <c r="AV87" s="7"/>
      <c r="AW87" s="7"/>
      <c r="AX87" s="7"/>
      <c r="AY87" s="7"/>
      <c r="AZ87" s="7"/>
    </row>
    <row r="88" spans="1:53">
      <c r="A88" s="7"/>
      <c r="B88" s="16"/>
      <c r="C88" s="166"/>
      <c r="D88" s="156">
        <v>3600000</v>
      </c>
      <c r="E88" s="157" t="s">
        <v>22</v>
      </c>
      <c r="F88" s="158">
        <v>6599999</v>
      </c>
      <c r="G88" s="155">
        <f t="shared" si="59"/>
        <v>0</v>
      </c>
      <c r="H88" s="163">
        <f>IF(G88=1,ROUNDDOWN(ROUNDDOWN(H78/4,-3)*3.2,0)-440000,0)</f>
        <v>0</v>
      </c>
      <c r="I88" s="147"/>
      <c r="J88" s="216"/>
      <c r="K88" s="156">
        <v>1300000</v>
      </c>
      <c r="L88" s="157" t="s">
        <v>22</v>
      </c>
      <c r="M88" s="158">
        <v>4099999</v>
      </c>
      <c r="N88" s="155">
        <f>IF(AND(K88="",M88=""),0,IF(O77&lt;=10000000,0,IF(O77&gt;20000000,0,IF(K88="",IF(O78&lt;=M88,1,0),IF(M88="",IF(O78&gt;=K88,1,0),IF(AND(O78&gt;=K88,O78&lt;=M88),1,0))))))</f>
        <v>0</v>
      </c>
      <c r="O88" s="159">
        <f>IF(N88=1,ROUNDDOWN(O78*0.75-175000,0),0)</f>
        <v>0</v>
      </c>
      <c r="P88" s="147"/>
      <c r="Q88" s="216"/>
      <c r="R88" s="156">
        <v>3300000</v>
      </c>
      <c r="S88" s="157" t="s">
        <v>22</v>
      </c>
      <c r="T88" s="158">
        <v>4099999</v>
      </c>
      <c r="U88" s="155">
        <f>IF(AND(R88="",T88=""),0,IF(V77&lt;=10000000,0,IF(V77&gt;20000000,0,IF(R88="",IF(V78&lt;=T88,1,0),IF(T88="",IF(V78&gt;=R88,1,0),IF(AND(V78&gt;=R88,V78&lt;=T88),1,0))))))</f>
        <v>0</v>
      </c>
      <c r="V88" s="159">
        <f>IF(U88=1,ROUNDDOWN(V78*0.75-175000,0),0)</f>
        <v>0</v>
      </c>
      <c r="Y88" s="7"/>
      <c r="Z88" s="7"/>
      <c r="AA88" s="7"/>
      <c r="AB88" s="7"/>
      <c r="AC88" s="7"/>
      <c r="AD88" s="7"/>
      <c r="AE88" s="7"/>
      <c r="AF88" s="7"/>
      <c r="AG88" s="7"/>
      <c r="AH88" s="7"/>
      <c r="AI88" s="7"/>
      <c r="AJ88" s="7"/>
      <c r="AK88" s="7"/>
      <c r="AL88" s="7"/>
      <c r="AM88" s="7"/>
      <c r="AN88" s="7"/>
      <c r="AO88" s="7"/>
      <c r="AP88" s="7"/>
      <c r="AQ88" s="7"/>
      <c r="AR88" s="7"/>
      <c r="AS88" s="7"/>
      <c r="AT88" s="7"/>
      <c r="AU88" s="7"/>
      <c r="AV88" s="7"/>
      <c r="AW88" s="7"/>
      <c r="AX88" s="7"/>
      <c r="AY88" s="7"/>
      <c r="AZ88" s="7"/>
    </row>
    <row r="89" spans="1:53">
      <c r="A89" s="7"/>
      <c r="B89" s="16"/>
      <c r="C89" s="166"/>
      <c r="D89" s="156">
        <v>6600000</v>
      </c>
      <c r="E89" s="157" t="s">
        <v>22</v>
      </c>
      <c r="F89" s="158">
        <v>8499999</v>
      </c>
      <c r="G89" s="155">
        <f t="shared" si="59"/>
        <v>0</v>
      </c>
      <c r="H89" s="163">
        <f>IF(G89=1,ROUNDDOWN(H78*0.9-1100000,0),0)</f>
        <v>0</v>
      </c>
      <c r="I89" s="147"/>
      <c r="J89" s="216"/>
      <c r="K89" s="156">
        <v>4100000</v>
      </c>
      <c r="L89" s="157" t="s">
        <v>22</v>
      </c>
      <c r="M89" s="158">
        <v>7699999</v>
      </c>
      <c r="N89" s="155">
        <f>IF(AND(K89="",M89=""),0,IF(O77&lt;=10000000,0,IF(O77&gt;20000000,0,IF(K89="",IF(O78&lt;=M89,1,0),IF(M89="",IF(O78&gt;=K89,1,0),IF(AND(O78&gt;=K89,O78&lt;=M89),1,0))))))</f>
        <v>0</v>
      </c>
      <c r="O89" s="159">
        <f>IF(N89=1,ROUNDDOWN(O78*0.85-585000,0),0)</f>
        <v>0</v>
      </c>
      <c r="P89" s="147"/>
      <c r="Q89" s="216"/>
      <c r="R89" s="156">
        <v>4100000</v>
      </c>
      <c r="S89" s="157" t="s">
        <v>22</v>
      </c>
      <c r="T89" s="158">
        <v>7699999</v>
      </c>
      <c r="U89" s="155">
        <f>IF(AND(R89="",T89=""),0,IF(V77&lt;=10000000,0,IF(V77&gt;20000000,0,IF(R89="",IF(V78&lt;=T89,1,0),IF(T89="",IF(V78&gt;=R89,1,0),IF(AND(V78&gt;=R89,V78&lt;=T89),1,0))))))</f>
        <v>0</v>
      </c>
      <c r="V89" s="159">
        <f>IF(U89=1,ROUNDDOWN(V78*0.85-585000,0),0)</f>
        <v>0</v>
      </c>
      <c r="Y89" s="7"/>
      <c r="Z89" s="7"/>
      <c r="AA89" s="7"/>
      <c r="AB89" s="7"/>
      <c r="AC89" s="7"/>
      <c r="AD89" s="7"/>
      <c r="AE89" s="7"/>
      <c r="AF89" s="7"/>
      <c r="AG89" s="7"/>
      <c r="AH89" s="7"/>
      <c r="AI89" s="7"/>
      <c r="AJ89" s="7"/>
      <c r="AK89" s="7"/>
      <c r="AL89" s="7"/>
      <c r="AM89" s="7"/>
      <c r="AN89" s="7"/>
      <c r="AO89" s="7"/>
      <c r="AP89" s="7"/>
      <c r="AQ89" s="7"/>
      <c r="AR89" s="7"/>
      <c r="AS89" s="7"/>
      <c r="AT89" s="7"/>
      <c r="AU89" s="7"/>
      <c r="AV89" s="7"/>
      <c r="AW89" s="7"/>
      <c r="AX89" s="7"/>
      <c r="AY89" s="7"/>
      <c r="AZ89" s="7"/>
    </row>
    <row r="90" spans="1:53">
      <c r="A90" s="7"/>
      <c r="B90" s="16"/>
      <c r="C90" s="166"/>
      <c r="D90" s="156">
        <v>8500000</v>
      </c>
      <c r="E90" s="157" t="s">
        <v>22</v>
      </c>
      <c r="F90" s="158"/>
      <c r="G90" s="155">
        <f t="shared" si="59"/>
        <v>0</v>
      </c>
      <c r="H90" s="163">
        <f>IF(G90=1,H78-1950000,0)</f>
        <v>0</v>
      </c>
      <c r="I90" s="147"/>
      <c r="J90" s="216"/>
      <c r="K90" s="156">
        <v>7700000</v>
      </c>
      <c r="L90" s="157" t="s">
        <v>22</v>
      </c>
      <c r="M90" s="158">
        <v>9999999</v>
      </c>
      <c r="N90" s="155">
        <f>IF(AND(K90="",M90=""),0,IF(O77&lt;=10000000,0,IF(O77&gt;20000000,0,IF(K90="",IF(O78&lt;=M90,1,0),IF(M90="",IF(O78&gt;=K90,1,0),IF(AND(O78&gt;=K90,O78&lt;=M90),1,0))))))</f>
        <v>0</v>
      </c>
      <c r="O90" s="159">
        <f>IF(N90=1,ROUNDDOWN(O78*0.95-1355000,0),0)</f>
        <v>0</v>
      </c>
      <c r="P90" s="147"/>
      <c r="Q90" s="216"/>
      <c r="R90" s="156">
        <v>7700000</v>
      </c>
      <c r="S90" s="157" t="s">
        <v>22</v>
      </c>
      <c r="T90" s="158">
        <v>9999999</v>
      </c>
      <c r="U90" s="155">
        <f>IF(AND(R90="",T90=""),0,IF(V77&lt;=10000000,0,IF(V77&gt;20000000,0,IF(R90="",IF(V78&lt;=T90,1,0),IF(T90="",IF(V78&gt;=R90,1,0),IF(AND(V78&gt;=R90,V78&lt;=T90),1,0))))))</f>
        <v>0</v>
      </c>
      <c r="V90" s="159">
        <f>IF(U90=1,ROUNDDOWN(V78*0.95-1355000,0),0)</f>
        <v>0</v>
      </c>
      <c r="Y90" s="7"/>
      <c r="Z90" s="7"/>
      <c r="AA90" s="7"/>
      <c r="AB90" s="7"/>
      <c r="AC90" s="7"/>
      <c r="AD90" s="7"/>
      <c r="AE90" s="7"/>
      <c r="AF90" s="7"/>
      <c r="AG90" s="7"/>
      <c r="AH90" s="7"/>
      <c r="AI90" s="7"/>
      <c r="AJ90" s="7"/>
      <c r="AK90" s="7"/>
      <c r="AL90" s="7"/>
      <c r="AM90" s="7"/>
      <c r="AN90" s="7"/>
      <c r="AO90" s="7"/>
      <c r="AP90" s="7"/>
      <c r="AQ90" s="7"/>
      <c r="AR90" s="7"/>
      <c r="AS90" s="7"/>
      <c r="AT90" s="7"/>
      <c r="AU90" s="7"/>
      <c r="AV90" s="7"/>
      <c r="AW90" s="7"/>
      <c r="AX90" s="7"/>
      <c r="AY90" s="7"/>
      <c r="AZ90" s="7"/>
    </row>
    <row r="91" spans="1:53">
      <c r="A91" s="7"/>
      <c r="B91" s="16"/>
      <c r="C91" s="166"/>
      <c r="D91" s="156"/>
      <c r="E91" s="157" t="s">
        <v>22</v>
      </c>
      <c r="F91" s="158"/>
      <c r="G91" s="155">
        <f t="shared" si="59"/>
        <v>0</v>
      </c>
      <c r="H91" s="163"/>
      <c r="I91" s="147"/>
      <c r="J91" s="216"/>
      <c r="K91" s="156">
        <v>10000000</v>
      </c>
      <c r="L91" s="157" t="s">
        <v>22</v>
      </c>
      <c r="M91" s="158"/>
      <c r="N91" s="155">
        <f>IF(AND(K91="",M91=""),0,IF(O77&lt;=10000000,0,IF(O77&gt;20000000,0,IF(K91="",IF(O78&lt;=M91,1,0),IF(M91="",IF(O78&gt;=K91,1,0),IF(AND(O78&gt;=K91,O78&lt;=M91),1,0))))))</f>
        <v>0</v>
      </c>
      <c r="O91" s="159">
        <f>IF(N91=1,O78-1855000,0)</f>
        <v>0</v>
      </c>
      <c r="P91" s="147"/>
      <c r="Q91" s="216"/>
      <c r="R91" s="156">
        <v>10000000</v>
      </c>
      <c r="S91" s="157" t="s">
        <v>22</v>
      </c>
      <c r="T91" s="158"/>
      <c r="U91" s="155">
        <f>IF(AND(R91="",T91=""),0,IF(V77&lt;=10000000,0,IF(V77&gt;20000000,0,IF(R91="",IF(V78&lt;=T91,1,0),IF(T91="",IF(V78&gt;=R91,1,0),IF(AND(V78&gt;=R91,V78&lt;=T91),1,0))))))</f>
        <v>0</v>
      </c>
      <c r="V91" s="159">
        <f>IF(U91=1,V78-1855000,0)</f>
        <v>0</v>
      </c>
      <c r="Y91" s="7"/>
      <c r="Z91" s="7"/>
      <c r="AA91" s="7"/>
      <c r="AB91" s="7"/>
      <c r="AC91" s="7"/>
      <c r="AD91" s="7"/>
      <c r="AE91" s="7"/>
      <c r="AF91" s="7"/>
      <c r="AG91" s="7"/>
      <c r="AH91" s="7"/>
      <c r="AI91" s="7"/>
      <c r="AJ91" s="7"/>
      <c r="AK91" s="7"/>
      <c r="AL91" s="7"/>
      <c r="AM91" s="7"/>
      <c r="AN91" s="7"/>
      <c r="AO91" s="7"/>
      <c r="AP91" s="7"/>
      <c r="AQ91" s="7"/>
      <c r="AR91" s="7"/>
      <c r="AS91" s="7"/>
      <c r="AT91" s="7"/>
      <c r="AU91" s="7"/>
      <c r="AV91" s="7"/>
      <c r="AW91" s="7"/>
      <c r="AX91" s="7"/>
      <c r="AY91" s="7"/>
      <c r="AZ91" s="7"/>
    </row>
    <row r="92" spans="1:53">
      <c r="A92" s="7"/>
      <c r="B92" s="16"/>
      <c r="C92" s="166"/>
      <c r="D92" s="156"/>
      <c r="E92" s="157" t="s">
        <v>22</v>
      </c>
      <c r="F92" s="158"/>
      <c r="G92" s="155">
        <f t="shared" si="59"/>
        <v>0</v>
      </c>
      <c r="H92" s="163"/>
      <c r="I92" s="147"/>
      <c r="J92" s="216"/>
      <c r="K92" s="156"/>
      <c r="L92" s="162" t="s">
        <v>27</v>
      </c>
      <c r="M92" s="158"/>
      <c r="N92" s="155"/>
      <c r="O92" s="163"/>
      <c r="P92" s="147"/>
      <c r="Q92" s="216"/>
      <c r="R92" s="156"/>
      <c r="S92" s="162" t="s">
        <v>27</v>
      </c>
      <c r="T92" s="158"/>
      <c r="U92" s="155"/>
      <c r="V92" s="163"/>
      <c r="Y92" s="7"/>
      <c r="Z92" s="7"/>
      <c r="AA92" s="7"/>
      <c r="AB92" s="7"/>
      <c r="AC92" s="7"/>
      <c r="AD92" s="7"/>
      <c r="AE92" s="7"/>
      <c r="AF92" s="7"/>
      <c r="AG92" s="7"/>
      <c r="AH92" s="7"/>
      <c r="AI92" s="7"/>
      <c r="AJ92" s="7"/>
      <c r="AK92" s="7"/>
      <c r="AL92" s="7"/>
      <c r="AM92" s="7"/>
      <c r="AN92" s="7"/>
      <c r="AO92" s="7"/>
      <c r="AP92" s="7"/>
      <c r="AQ92" s="7"/>
      <c r="AR92" s="7"/>
      <c r="AS92" s="7"/>
      <c r="AT92" s="7"/>
      <c r="AU92" s="7"/>
      <c r="AV92" s="7"/>
      <c r="AW92" s="7"/>
      <c r="AX92" s="7"/>
      <c r="AY92" s="7"/>
      <c r="AZ92" s="7"/>
    </row>
    <row r="93" spans="1:53">
      <c r="A93" s="7"/>
      <c r="B93" s="16"/>
      <c r="C93" s="166"/>
      <c r="D93" s="156"/>
      <c r="E93" s="157" t="s">
        <v>22</v>
      </c>
      <c r="F93" s="158"/>
      <c r="G93" s="155">
        <f t="shared" si="59"/>
        <v>0</v>
      </c>
      <c r="H93" s="163"/>
      <c r="I93" s="147"/>
      <c r="J93" s="216"/>
      <c r="K93" s="156"/>
      <c r="L93" s="157" t="s">
        <v>22</v>
      </c>
      <c r="M93" s="158">
        <v>1299999</v>
      </c>
      <c r="N93" s="155">
        <f>IF(AND(K93="",M93=""),0,IF(O77&lt;=20000000,0,IF(K93="",IF(O78&lt;=M93,1,0),IF(M93="",IF(O78&gt;=K93,1,0),IF(AND(O78&gt;=K93,O78&lt;=M93),1,0)))))</f>
        <v>0</v>
      </c>
      <c r="O93" s="159">
        <f>IF(N93=1,IF(O78-400000&gt;0,O78-400000,0),0)</f>
        <v>0</v>
      </c>
      <c r="P93" s="147"/>
      <c r="Q93" s="216"/>
      <c r="R93" s="156"/>
      <c r="S93" s="157" t="s">
        <v>22</v>
      </c>
      <c r="T93" s="158">
        <v>3299999</v>
      </c>
      <c r="U93" s="155">
        <f>IF(AND(R93="",T93=""),0,IF(V77&lt;=20000000,0,IF(R93="",IF(V78&lt;=T93,1,0),IF(T93="",IF(V78&gt;=R93,1,0),IF(AND(V78&gt;=R93,V78&lt;=T93),1,0)))))</f>
        <v>0</v>
      </c>
      <c r="V93" s="159">
        <f>IF(U93=1,IF(V78-900000&gt;0,V78-900000,0),0)</f>
        <v>0</v>
      </c>
      <c r="Y93" s="7"/>
      <c r="Z93" s="7"/>
      <c r="AA93" s="7"/>
      <c r="AB93" s="7"/>
      <c r="AC93" s="7"/>
      <c r="AD93" s="7"/>
      <c r="AE93" s="7"/>
      <c r="AF93" s="7"/>
      <c r="AG93" s="7"/>
      <c r="AH93" s="7"/>
      <c r="AI93" s="7"/>
      <c r="AJ93" s="7"/>
      <c r="AK93" s="7"/>
      <c r="AL93" s="7"/>
      <c r="AM93" s="7"/>
      <c r="AN93" s="7"/>
      <c r="AO93" s="7"/>
      <c r="AP93" s="7"/>
      <c r="AQ93" s="7"/>
      <c r="AR93" s="7"/>
      <c r="AS93" s="7"/>
      <c r="AT93" s="7"/>
      <c r="AU93" s="7"/>
      <c r="AV93" s="7"/>
      <c r="AW93" s="7"/>
      <c r="AX93" s="7"/>
      <c r="AY93" s="7"/>
      <c r="AZ93" s="7"/>
    </row>
    <row r="94" spans="1:53">
      <c r="A94" s="7"/>
      <c r="B94" s="16"/>
      <c r="C94" s="166"/>
      <c r="D94" s="156"/>
      <c r="E94" s="157" t="s">
        <v>22</v>
      </c>
      <c r="F94" s="158"/>
      <c r="G94" s="155">
        <f t="shared" si="59"/>
        <v>0</v>
      </c>
      <c r="H94" s="163"/>
      <c r="I94" s="147"/>
      <c r="J94" s="216"/>
      <c r="K94" s="156">
        <v>1300000</v>
      </c>
      <c r="L94" s="157" t="s">
        <v>22</v>
      </c>
      <c r="M94" s="158">
        <v>4099999</v>
      </c>
      <c r="N94" s="155">
        <f>IF(AND(K94="",M94=""),0,IF(O77&lt;=20000000,0,IF(K94="",IF(O78&lt;=M94,1,0),IF(M94="",IF(O78&gt;=K94,1,0),IF(AND(O78&gt;=K94,O78&lt;=M94),1,0)))))</f>
        <v>0</v>
      </c>
      <c r="O94" s="159">
        <f>IF(N94=1,ROUNDDOWN(O78*0.75-75000,0),0)</f>
        <v>0</v>
      </c>
      <c r="P94" s="147"/>
      <c r="Q94" s="216"/>
      <c r="R94" s="156">
        <v>3300000</v>
      </c>
      <c r="S94" s="157" t="s">
        <v>22</v>
      </c>
      <c r="T94" s="158">
        <v>4099999</v>
      </c>
      <c r="U94" s="155">
        <f>IF(AND(R94="",T94=""),0,IF(V77&lt;=20000000,0,IF(R94="",IF(V78&lt;=T94,1,0),IF(T94="",IF(V78&gt;=R94,1,0),IF(AND(V78&gt;=R94,V78&lt;=T94),1,0)))))</f>
        <v>0</v>
      </c>
      <c r="V94" s="159">
        <f>IF(U94=1,ROUNDDOWN(V78*0.75-75000,0),0)</f>
        <v>0</v>
      </c>
      <c r="Y94" s="7"/>
      <c r="Z94" s="7"/>
      <c r="AA94" s="7"/>
      <c r="AB94" s="7"/>
      <c r="AC94" s="7"/>
      <c r="AD94" s="7"/>
      <c r="AE94" s="7"/>
      <c r="AF94" s="7"/>
      <c r="AG94" s="7"/>
      <c r="AH94" s="7"/>
      <c r="AI94" s="7"/>
      <c r="AJ94" s="7"/>
      <c r="AK94" s="7"/>
      <c r="AL94" s="7"/>
      <c r="AM94" s="7"/>
      <c r="AN94" s="7"/>
      <c r="AO94" s="7"/>
      <c r="AP94" s="7"/>
      <c r="AQ94" s="7"/>
      <c r="AR94" s="7"/>
      <c r="AS94" s="7"/>
      <c r="AT94" s="7"/>
      <c r="AU94" s="7"/>
      <c r="AV94" s="7"/>
      <c r="AW94" s="7"/>
      <c r="AX94" s="7"/>
      <c r="AY94" s="7"/>
      <c r="AZ94" s="7"/>
    </row>
    <row r="95" spans="1:53">
      <c r="A95" s="7"/>
      <c r="B95" s="16"/>
      <c r="C95" s="166"/>
      <c r="D95" s="156"/>
      <c r="E95" s="157" t="s">
        <v>22</v>
      </c>
      <c r="F95" s="158"/>
      <c r="G95" s="155">
        <f t="shared" si="40"/>
        <v>0</v>
      </c>
      <c r="H95" s="163"/>
      <c r="I95" s="147"/>
      <c r="J95" s="216"/>
      <c r="K95" s="156">
        <v>4100000</v>
      </c>
      <c r="L95" s="157" t="s">
        <v>22</v>
      </c>
      <c r="M95" s="158">
        <v>7699999</v>
      </c>
      <c r="N95" s="155">
        <f>IF(AND(K95="",M95=""),0,IF(O77&lt;=20000000,0,IF(K95="",IF(O78&lt;=M95,1,0),IF(M95="",IF(O78&gt;=K95,1,0),IF(AND(O78&gt;=K95,O78&lt;=M95),1,0)))))</f>
        <v>0</v>
      </c>
      <c r="O95" s="159">
        <f>IF(N95=1,ROUNDDOWN(O78*0.85-485000,0),0)</f>
        <v>0</v>
      </c>
      <c r="P95" s="147"/>
      <c r="Q95" s="216"/>
      <c r="R95" s="156">
        <v>4100000</v>
      </c>
      <c r="S95" s="157" t="s">
        <v>22</v>
      </c>
      <c r="T95" s="158">
        <v>7699999</v>
      </c>
      <c r="U95" s="155">
        <f>IF(AND(R95="",T95=""),0,IF(V77&lt;=20000000,0,IF(R95="",IF(V78&lt;=T95,1,0),IF(T95="",IF(V78&gt;=R95,1,0),IF(AND(V78&gt;=R95,V78&lt;=T95),1,0)))))</f>
        <v>0</v>
      </c>
      <c r="V95" s="159">
        <f>IF(U95=1,ROUNDDOWN(V78*0.85-485000,0),0)</f>
        <v>0</v>
      </c>
      <c r="Y95" s="7"/>
      <c r="Z95" s="7"/>
      <c r="AA95" s="7"/>
      <c r="AB95" s="7"/>
      <c r="AC95" s="7"/>
      <c r="AD95" s="7"/>
      <c r="AE95" s="7"/>
      <c r="AF95" s="7"/>
      <c r="AG95" s="7"/>
      <c r="AH95" s="7"/>
      <c r="AI95" s="7"/>
      <c r="AJ95" s="7"/>
      <c r="AK95" s="7"/>
      <c r="AL95" s="7"/>
      <c r="AM95" s="7"/>
      <c r="AN95" s="7"/>
      <c r="AO95" s="7"/>
      <c r="AP95" s="7"/>
      <c r="AQ95" s="7"/>
      <c r="AR95" s="7"/>
      <c r="AS95" s="7"/>
      <c r="AT95" s="7"/>
      <c r="AU95" s="7"/>
      <c r="AV95" s="7"/>
      <c r="AW95" s="7"/>
      <c r="AX95" s="7"/>
      <c r="AY95" s="7"/>
      <c r="AZ95" s="7"/>
    </row>
    <row r="96" spans="1:53">
      <c r="A96" s="7"/>
      <c r="B96" s="16"/>
      <c r="C96" s="166"/>
      <c r="D96" s="156"/>
      <c r="E96" s="157" t="s">
        <v>22</v>
      </c>
      <c r="F96" s="158"/>
      <c r="G96" s="155">
        <f t="shared" si="40"/>
        <v>0</v>
      </c>
      <c r="H96" s="163"/>
      <c r="I96" s="147"/>
      <c r="J96" s="216"/>
      <c r="K96" s="156">
        <v>7700000</v>
      </c>
      <c r="L96" s="157" t="s">
        <v>22</v>
      </c>
      <c r="M96" s="158">
        <v>9999999</v>
      </c>
      <c r="N96" s="155">
        <f>IF(AND(K96="",M96=""),0,IF(O77&lt;=20000000,0,IF(K96="",IF(O78&lt;=M96,1,0),IF(M96="",IF(O78&gt;=K96,1,0),IF(AND(O78&gt;=K96,O78&lt;=M96),1,0)))))</f>
        <v>0</v>
      </c>
      <c r="O96" s="159">
        <f>IF(N96=1,ROUNDDOWN(O78*0.95-1255000,0),0)</f>
        <v>0</v>
      </c>
      <c r="P96" s="147"/>
      <c r="Q96" s="216"/>
      <c r="R96" s="156">
        <v>7700000</v>
      </c>
      <c r="S96" s="157" t="s">
        <v>22</v>
      </c>
      <c r="T96" s="158">
        <v>9999999</v>
      </c>
      <c r="U96" s="155">
        <f>IF(AND(R96="",T96=""),0,IF(V77&lt;=20000000,0,IF(R96="",IF(V78&lt;=T96,1,0),IF(T96="",IF(V78&gt;=R96,1,0),IF(AND(V78&gt;=R96,V78&lt;=T96),1,0)))))</f>
        <v>0</v>
      </c>
      <c r="V96" s="159">
        <f>IF(U96=1,ROUNDDOWN(V78*0.95-1255000,0),0)</f>
        <v>0</v>
      </c>
      <c r="Y96" s="7"/>
      <c r="Z96" s="7"/>
      <c r="AA96" s="7"/>
      <c r="AB96" s="7"/>
      <c r="AC96" s="7"/>
      <c r="AD96" s="7"/>
      <c r="AE96" s="7"/>
      <c r="AF96" s="7"/>
      <c r="AG96" s="7"/>
      <c r="AH96" s="7"/>
      <c r="AI96" s="7"/>
      <c r="AJ96" s="7"/>
      <c r="AK96" s="7"/>
      <c r="AL96" s="7"/>
      <c r="AM96" s="7"/>
      <c r="AN96" s="7"/>
      <c r="AO96" s="7"/>
      <c r="AP96" s="7"/>
      <c r="AQ96" s="7"/>
      <c r="AR96" s="7"/>
      <c r="AS96" s="7"/>
      <c r="AT96" s="7"/>
      <c r="AU96" s="7"/>
      <c r="AV96" s="7"/>
      <c r="AW96" s="7"/>
      <c r="AX96" s="7"/>
      <c r="AY96" s="7"/>
      <c r="AZ96" s="7"/>
    </row>
    <row r="97" spans="1:53">
      <c r="A97" s="7"/>
      <c r="B97" s="16"/>
      <c r="C97" s="166"/>
      <c r="D97" s="156"/>
      <c r="E97" s="157" t="s">
        <v>22</v>
      </c>
      <c r="F97" s="158"/>
      <c r="G97" s="155">
        <f t="shared" si="40"/>
        <v>0</v>
      </c>
      <c r="H97" s="163"/>
      <c r="I97" s="147"/>
      <c r="J97" s="216"/>
      <c r="K97" s="156">
        <v>10000000</v>
      </c>
      <c r="L97" s="157" t="s">
        <v>22</v>
      </c>
      <c r="M97" s="158"/>
      <c r="N97" s="155">
        <f>IF(AND(K97="",M97=""),0,IF(O77&lt;=20000000,0,IF(K97="",IF(O78&lt;=M97,1,0),IF(M97="",IF(O78&gt;=K97,1,0),IF(AND(O78&gt;=K97,O78&lt;=M97),1,0)))))</f>
        <v>0</v>
      </c>
      <c r="O97" s="159">
        <f>IF(N97=1,O78-1755000,0)</f>
        <v>0</v>
      </c>
      <c r="P97" s="147"/>
      <c r="Q97" s="216"/>
      <c r="R97" s="156">
        <v>10000000</v>
      </c>
      <c r="S97" s="157" t="s">
        <v>22</v>
      </c>
      <c r="T97" s="158"/>
      <c r="U97" s="155">
        <f>IF(AND(R97="",T97=""),0,IF(V77&lt;=20000000,0,IF(R97="",IF(V78&lt;=T97,1,0),IF(T97="",IF(V78&gt;=R97,1,0),IF(AND(V78&gt;=R97,V78&lt;=T97),1,0)))))</f>
        <v>0</v>
      </c>
      <c r="V97" s="159">
        <f>IF(U97=1,V78-1755000,0)</f>
        <v>0</v>
      </c>
      <c r="Y97" s="7"/>
      <c r="Z97" s="7"/>
      <c r="AA97" s="7"/>
      <c r="AB97" s="7"/>
      <c r="AC97" s="7"/>
      <c r="AD97" s="7"/>
      <c r="AE97" s="7"/>
      <c r="AF97" s="7"/>
      <c r="AG97" s="7"/>
      <c r="AH97" s="7"/>
      <c r="AI97" s="7"/>
      <c r="AJ97" s="7"/>
      <c r="AK97" s="7"/>
      <c r="AL97" s="7"/>
      <c r="AM97" s="7"/>
      <c r="AN97" s="7"/>
      <c r="AO97" s="7"/>
      <c r="AP97" s="7"/>
      <c r="AQ97" s="7"/>
      <c r="AR97" s="7"/>
      <c r="AS97" s="7"/>
      <c r="AT97" s="7"/>
      <c r="AU97" s="7"/>
      <c r="AV97" s="7"/>
      <c r="AW97" s="7"/>
      <c r="AX97" s="7"/>
      <c r="AY97" s="7"/>
      <c r="AZ97" s="7"/>
    </row>
    <row r="98" spans="1:53">
      <c r="A98" s="7"/>
      <c r="B98" s="16"/>
      <c r="C98" s="166"/>
      <c r="D98" s="156"/>
      <c r="E98" s="157" t="s">
        <v>22</v>
      </c>
      <c r="F98" s="158"/>
      <c r="G98" s="155">
        <f t="shared" si="40"/>
        <v>0</v>
      </c>
      <c r="H98" s="159"/>
      <c r="I98" s="147"/>
      <c r="J98" s="216"/>
      <c r="K98" s="156"/>
      <c r="L98" s="157" t="s">
        <v>22</v>
      </c>
      <c r="M98" s="158"/>
      <c r="N98" s="155"/>
      <c r="O98" s="159"/>
      <c r="P98" s="147"/>
      <c r="Q98" s="216"/>
      <c r="R98" s="156"/>
      <c r="S98" s="157" t="s">
        <v>22</v>
      </c>
      <c r="T98" s="158"/>
      <c r="U98" s="155"/>
      <c r="V98" s="159"/>
      <c r="Y98" s="7"/>
      <c r="Z98" s="7"/>
      <c r="AA98" s="7"/>
      <c r="AB98" s="7"/>
      <c r="AC98" s="7"/>
      <c r="AD98" s="7"/>
      <c r="AE98" s="7"/>
      <c r="AF98" s="7"/>
      <c r="AG98" s="7"/>
      <c r="AH98" s="7"/>
      <c r="AI98" s="7"/>
      <c r="AJ98" s="7"/>
      <c r="AK98" s="7"/>
      <c r="AL98" s="7"/>
      <c r="AM98" s="7"/>
      <c r="AN98" s="7"/>
      <c r="AO98" s="7"/>
      <c r="AP98" s="7"/>
      <c r="AQ98" s="7"/>
      <c r="AR98" s="7"/>
      <c r="AS98" s="7"/>
      <c r="AT98" s="7"/>
      <c r="AU98" s="7"/>
      <c r="AV98" s="7"/>
      <c r="AW98" s="7"/>
      <c r="AX98" s="7"/>
      <c r="AY98" s="7"/>
      <c r="AZ98" s="7"/>
    </row>
    <row r="99" spans="1:53">
      <c r="A99" s="7"/>
      <c r="B99" s="16"/>
      <c r="C99" s="166"/>
      <c r="D99" s="156"/>
      <c r="E99" s="157" t="s">
        <v>22</v>
      </c>
      <c r="F99" s="158"/>
      <c r="G99" s="155">
        <f t="shared" si="40"/>
        <v>0</v>
      </c>
      <c r="H99" s="159"/>
      <c r="I99" s="147"/>
      <c r="J99" s="216"/>
      <c r="K99" s="156"/>
      <c r="L99" s="157" t="s">
        <v>22</v>
      </c>
      <c r="M99" s="158"/>
      <c r="N99" s="155"/>
      <c r="O99" s="159"/>
      <c r="P99" s="147"/>
      <c r="Q99" s="216"/>
      <c r="R99" s="156"/>
      <c r="S99" s="157" t="s">
        <v>22</v>
      </c>
      <c r="T99" s="158"/>
      <c r="U99" s="155"/>
      <c r="V99" s="159"/>
      <c r="Y99" s="7"/>
      <c r="Z99" s="7"/>
      <c r="AA99" s="7"/>
      <c r="AB99" s="7"/>
      <c r="AC99" s="7"/>
      <c r="AD99" s="7"/>
      <c r="AE99" s="7"/>
      <c r="AF99" s="7"/>
      <c r="AG99" s="7"/>
      <c r="AH99" s="7"/>
      <c r="AI99" s="7"/>
      <c r="AJ99" s="7"/>
      <c r="AK99" s="7"/>
      <c r="AL99" s="7"/>
      <c r="AM99" s="7"/>
      <c r="AN99" s="7"/>
      <c r="AO99" s="7"/>
      <c r="AP99" s="7"/>
      <c r="AQ99" s="7"/>
      <c r="AR99" s="7"/>
      <c r="AS99" s="7"/>
      <c r="AT99" s="7"/>
      <c r="AU99" s="7"/>
      <c r="AV99" s="7"/>
      <c r="AW99" s="7"/>
      <c r="AX99" s="7"/>
      <c r="AY99" s="7"/>
      <c r="AZ99" s="7"/>
    </row>
    <row r="100" spans="1:53">
      <c r="A100" s="7"/>
      <c r="B100" s="16"/>
      <c r="C100" s="212" t="s">
        <v>20</v>
      </c>
      <c r="D100" s="213"/>
      <c r="E100" s="213"/>
      <c r="F100" s="213"/>
      <c r="G100" s="213"/>
      <c r="H100" s="151">
        <f>SUM(H80:H99)</f>
        <v>0</v>
      </c>
      <c r="I100" s="147"/>
      <c r="J100" s="214" t="s">
        <v>21</v>
      </c>
      <c r="K100" s="215"/>
      <c r="L100" s="215"/>
      <c r="M100" s="215"/>
      <c r="N100" s="212"/>
      <c r="O100" s="151">
        <f>SUM(O80:O99)</f>
        <v>0</v>
      </c>
      <c r="P100" s="147"/>
      <c r="Q100" s="214" t="s">
        <v>21</v>
      </c>
      <c r="R100" s="215"/>
      <c r="S100" s="215"/>
      <c r="T100" s="215"/>
      <c r="U100" s="212"/>
      <c r="V100" s="151">
        <f>SUM(V80:V99)</f>
        <v>0</v>
      </c>
      <c r="Y100" s="7"/>
      <c r="Z100" s="7"/>
      <c r="AA100" s="7"/>
      <c r="AB100" s="7"/>
      <c r="AC100" s="7"/>
      <c r="AD100" s="7"/>
      <c r="AE100" s="7"/>
      <c r="AF100" s="7"/>
      <c r="AG100" s="7"/>
      <c r="AH100" s="7"/>
      <c r="AI100" s="7"/>
      <c r="AJ100" s="7"/>
      <c r="AK100" s="7"/>
      <c r="AL100" s="7"/>
      <c r="AM100" s="7"/>
      <c r="AN100" s="7"/>
      <c r="AO100" s="7"/>
      <c r="AP100" s="7"/>
      <c r="AQ100" s="7"/>
      <c r="AR100" s="7"/>
      <c r="AS100" s="7"/>
      <c r="AT100" s="7"/>
      <c r="AU100" s="7"/>
      <c r="AV100" s="7"/>
      <c r="AW100" s="7"/>
      <c r="AX100" s="7"/>
      <c r="AY100" s="7"/>
      <c r="AZ100" s="7"/>
    </row>
    <row r="101" spans="1:53">
      <c r="C101" s="164"/>
      <c r="D101" s="165"/>
      <c r="E101" s="165"/>
      <c r="F101" s="165"/>
      <c r="G101" s="165"/>
      <c r="H101" s="165"/>
      <c r="I101" s="165"/>
      <c r="J101" s="165"/>
      <c r="K101" s="165"/>
      <c r="L101" s="165"/>
      <c r="M101" s="165"/>
      <c r="N101" s="165"/>
      <c r="O101" s="165"/>
      <c r="P101" s="165"/>
      <c r="Q101" s="165"/>
      <c r="R101" s="165"/>
      <c r="S101" s="165"/>
      <c r="T101" s="165"/>
      <c r="U101" s="165"/>
      <c r="V101" s="165"/>
      <c r="Y101" s="7"/>
      <c r="Z101" s="7"/>
      <c r="AA101" s="7"/>
      <c r="AB101" s="7"/>
      <c r="AC101" s="7"/>
      <c r="AD101" s="7"/>
      <c r="AE101" s="7"/>
      <c r="AF101" s="7"/>
      <c r="AG101" s="7"/>
      <c r="AH101" s="7"/>
      <c r="AI101" s="7"/>
      <c r="AJ101" s="7"/>
      <c r="AK101" s="7"/>
      <c r="AL101" s="7"/>
      <c r="AM101" s="7"/>
      <c r="AN101" s="7"/>
      <c r="AO101" s="7"/>
      <c r="AP101" s="7"/>
      <c r="AQ101" s="7"/>
      <c r="AR101" s="7"/>
      <c r="AS101" s="7"/>
      <c r="AT101" s="7"/>
      <c r="AU101" s="7"/>
      <c r="AV101" s="7"/>
      <c r="AW101" s="7"/>
      <c r="AX101" s="7"/>
      <c r="AY101" s="7"/>
      <c r="AZ101" s="7"/>
    </row>
    <row r="102" spans="1:53">
      <c r="A102" s="7"/>
      <c r="B102" s="7" t="s">
        <v>28</v>
      </c>
      <c r="C102" s="144"/>
      <c r="D102" s="145" t="str">
        <f>IF(C104=0,"空欄",Z108)</f>
        <v>空欄</v>
      </c>
      <c r="E102" s="146" t="s">
        <v>29</v>
      </c>
      <c r="F102" s="146"/>
      <c r="G102" s="146"/>
      <c r="H102" s="146"/>
      <c r="I102" s="147"/>
      <c r="J102" s="147"/>
      <c r="K102" s="148" t="s">
        <v>14</v>
      </c>
      <c r="L102" s="147"/>
      <c r="M102" s="149"/>
      <c r="N102" s="150" t="s">
        <v>15</v>
      </c>
      <c r="O102" s="151">
        <f>H125+C107</f>
        <v>0</v>
      </c>
      <c r="P102" s="147"/>
      <c r="Q102" s="147"/>
      <c r="R102" s="147" t="s">
        <v>16</v>
      </c>
      <c r="S102" s="147"/>
      <c r="T102" s="149"/>
      <c r="U102" s="150" t="s">
        <v>15</v>
      </c>
      <c r="V102" s="151">
        <f>H125+C106</f>
        <v>0</v>
      </c>
      <c r="Y102" s="7"/>
      <c r="Z102" s="7"/>
      <c r="AA102" s="7"/>
      <c r="AB102" s="7"/>
      <c r="AC102" s="7"/>
      <c r="AD102" s="7"/>
      <c r="AE102" s="7"/>
      <c r="AF102" s="7"/>
      <c r="AG102" s="7"/>
      <c r="AH102" s="7"/>
      <c r="AI102" s="7"/>
      <c r="AJ102" s="7"/>
      <c r="AK102" s="7"/>
      <c r="AL102" s="7"/>
      <c r="AM102" s="7"/>
      <c r="AN102" s="7"/>
      <c r="AO102" s="7"/>
      <c r="AP102" s="7"/>
      <c r="AQ102" s="7"/>
      <c r="AR102" s="7"/>
      <c r="AS102" s="7"/>
      <c r="AT102" s="7"/>
      <c r="AU102" s="7"/>
      <c r="AV102" s="7"/>
      <c r="AW102" s="7"/>
      <c r="AX102" s="7"/>
      <c r="AY102" s="7"/>
      <c r="AZ102" s="7"/>
    </row>
    <row r="103" spans="1:53" ht="13.5" customHeight="1">
      <c r="A103" s="7" t="s">
        <v>39</v>
      </c>
      <c r="B103" s="16"/>
      <c r="C103" s="152" t="s">
        <v>131</v>
      </c>
      <c r="D103" s="213" t="s">
        <v>17</v>
      </c>
      <c r="E103" s="213"/>
      <c r="F103" s="213"/>
      <c r="G103" s="213"/>
      <c r="H103" s="153">
        <f>C105</f>
        <v>0</v>
      </c>
      <c r="I103" s="147"/>
      <c r="J103" s="217" t="s">
        <v>33</v>
      </c>
      <c r="K103" s="213" t="s">
        <v>31</v>
      </c>
      <c r="L103" s="213"/>
      <c r="M103" s="213"/>
      <c r="N103" s="213"/>
      <c r="O103" s="154">
        <f>IF(D102&lt;65,C106,0)</f>
        <v>0</v>
      </c>
      <c r="P103" s="147"/>
      <c r="Q103" s="216" t="s">
        <v>34</v>
      </c>
      <c r="R103" s="213" t="s">
        <v>31</v>
      </c>
      <c r="S103" s="213"/>
      <c r="T103" s="213"/>
      <c r="U103" s="213"/>
      <c r="V103" s="154">
        <f>IF(D102&gt;=65,C106,0)</f>
        <v>0</v>
      </c>
      <c r="Y103" s="7"/>
      <c r="Z103" s="7"/>
      <c r="AA103" s="7"/>
      <c r="AB103" s="7"/>
      <c r="AC103" s="7"/>
      <c r="AD103" s="7"/>
      <c r="AE103" s="7"/>
      <c r="AF103" s="7"/>
      <c r="AG103" s="7"/>
      <c r="AH103" s="7"/>
      <c r="AI103" s="7"/>
      <c r="AJ103" s="7"/>
      <c r="AK103" s="7"/>
      <c r="AL103" s="7"/>
      <c r="AM103" s="7"/>
      <c r="AN103" s="7"/>
      <c r="AO103" s="7"/>
      <c r="AP103" s="7"/>
      <c r="AQ103" s="7"/>
      <c r="AR103" s="7"/>
      <c r="AS103" s="7"/>
      <c r="AT103" s="7"/>
      <c r="AU103" s="7"/>
      <c r="AV103" s="7"/>
      <c r="AW103" s="7"/>
      <c r="AX103" s="7"/>
      <c r="AY103" s="7"/>
      <c r="AZ103" s="7"/>
    </row>
    <row r="104" spans="1:53" ht="14.25" thickBot="1">
      <c r="A104" s="7"/>
      <c r="B104" s="2" t="s">
        <v>44</v>
      </c>
      <c r="C104" s="152">
        <f>簡易試算シート!C13</f>
        <v>0</v>
      </c>
      <c r="D104" s="215" t="s">
        <v>18</v>
      </c>
      <c r="E104" s="215"/>
      <c r="F104" s="212"/>
      <c r="G104" s="155" t="s">
        <v>19</v>
      </c>
      <c r="H104" s="155" t="s">
        <v>20</v>
      </c>
      <c r="I104" s="147"/>
      <c r="J104" s="216"/>
      <c r="K104" s="215" t="s">
        <v>18</v>
      </c>
      <c r="L104" s="215"/>
      <c r="M104" s="212"/>
      <c r="N104" s="155" t="s">
        <v>19</v>
      </c>
      <c r="O104" s="155" t="s">
        <v>20</v>
      </c>
      <c r="P104" s="147"/>
      <c r="Q104" s="216"/>
      <c r="R104" s="215"/>
      <c r="S104" s="215"/>
      <c r="T104" s="212"/>
      <c r="U104" s="155" t="s">
        <v>19</v>
      </c>
      <c r="V104" s="155" t="s">
        <v>21</v>
      </c>
      <c r="Y104" s="7"/>
      <c r="Z104" s="7"/>
      <c r="AA104" s="7"/>
      <c r="AB104" s="7"/>
      <c r="AC104" s="7"/>
      <c r="AD104" s="7"/>
      <c r="AE104" s="7"/>
      <c r="AF104" s="7"/>
      <c r="AG104" s="7"/>
      <c r="AH104" s="7"/>
      <c r="AI104" s="7"/>
      <c r="AJ104" s="7"/>
      <c r="AK104" s="7"/>
      <c r="AL104" s="7"/>
      <c r="AM104" s="7"/>
      <c r="AN104" s="7"/>
      <c r="AO104" s="7"/>
      <c r="AP104" s="7"/>
      <c r="AQ104" s="7"/>
      <c r="AR104" s="7"/>
      <c r="AS104" s="7"/>
      <c r="AT104" s="7"/>
      <c r="AU104" s="7"/>
      <c r="AV104" s="7"/>
      <c r="AW104" s="7"/>
      <c r="AX104" s="7"/>
      <c r="AY104" s="7"/>
      <c r="AZ104" s="7"/>
    </row>
    <row r="105" spans="1:53">
      <c r="A105" s="7"/>
      <c r="B105" s="2" t="s">
        <v>45</v>
      </c>
      <c r="C105" s="152">
        <f>簡易試算シート!D13</f>
        <v>0</v>
      </c>
      <c r="D105" s="11"/>
      <c r="E105" s="12" t="s">
        <v>22</v>
      </c>
      <c r="F105" s="13">
        <v>650999</v>
      </c>
      <c r="G105" s="155">
        <f t="shared" ref="G105:G124" si="60">IF(AND(D105="",F105=""),0,IF(D105="",IF($H$103&lt;=F105,1,0),IF(F105="",IF($H$103&gt;=D105,1,0),IF(AND($H$103&gt;=D105,$H$103&lt;=F105),1,0))))</f>
        <v>1</v>
      </c>
      <c r="H105" s="159">
        <f>IF(G105=1,0,0)</f>
        <v>0</v>
      </c>
      <c r="I105" s="147"/>
      <c r="J105" s="216"/>
      <c r="K105" s="160"/>
      <c r="L105" s="157" t="s">
        <v>23</v>
      </c>
      <c r="M105" s="161"/>
      <c r="N105" s="155"/>
      <c r="O105" s="159"/>
      <c r="P105" s="147"/>
      <c r="Q105" s="216"/>
      <c r="R105" s="156"/>
      <c r="S105" s="157" t="s">
        <v>23</v>
      </c>
      <c r="T105" s="158"/>
      <c r="U105" s="155"/>
      <c r="V105" s="159"/>
      <c r="Y105" s="45"/>
      <c r="Z105" s="46" t="s">
        <v>49</v>
      </c>
      <c r="AA105" s="46" t="s">
        <v>50</v>
      </c>
      <c r="AB105" s="47" t="s">
        <v>51</v>
      </c>
      <c r="AC105" s="47" t="s">
        <v>52</v>
      </c>
      <c r="AD105" s="47" t="s">
        <v>53</v>
      </c>
      <c r="AE105" s="47" t="s">
        <v>54</v>
      </c>
      <c r="AF105" s="47" t="s">
        <v>55</v>
      </c>
      <c r="AG105" s="47" t="s">
        <v>56</v>
      </c>
      <c r="AH105" s="47" t="s">
        <v>57</v>
      </c>
      <c r="AI105" s="47" t="s">
        <v>58</v>
      </c>
      <c r="AJ105" s="47" t="s">
        <v>59</v>
      </c>
      <c r="AK105" s="47" t="s">
        <v>60</v>
      </c>
      <c r="AL105" s="47" t="s">
        <v>61</v>
      </c>
      <c r="AM105" s="47" t="s">
        <v>62</v>
      </c>
      <c r="AN105" s="47" t="s">
        <v>63</v>
      </c>
      <c r="AO105" s="47" t="s">
        <v>64</v>
      </c>
      <c r="AP105" s="222" t="s">
        <v>65</v>
      </c>
      <c r="AQ105" s="222"/>
      <c r="AR105" s="47"/>
      <c r="AS105" s="48" t="s">
        <v>66</v>
      </c>
      <c r="AT105" s="48" t="s">
        <v>67</v>
      </c>
      <c r="AU105" s="47"/>
      <c r="AV105" s="47"/>
      <c r="AW105" s="47"/>
      <c r="AX105" s="49" t="s">
        <v>68</v>
      </c>
      <c r="AY105" s="49" t="s">
        <v>69</v>
      </c>
      <c r="AZ105" s="49" t="s">
        <v>70</v>
      </c>
      <c r="BA105" s="176" t="s">
        <v>202</v>
      </c>
    </row>
    <row r="106" spans="1:53">
      <c r="A106" s="7"/>
      <c r="B106" s="2" t="s">
        <v>46</v>
      </c>
      <c r="C106" s="152">
        <f>簡易試算シート!E13</f>
        <v>0</v>
      </c>
      <c r="D106" s="11">
        <v>651000</v>
      </c>
      <c r="E106" s="12" t="s">
        <v>22</v>
      </c>
      <c r="F106" s="13">
        <v>1899999</v>
      </c>
      <c r="G106" s="155">
        <f t="shared" si="60"/>
        <v>0</v>
      </c>
      <c r="H106" s="167">
        <f>IF(G106=1,H103-650000,0)</f>
        <v>0</v>
      </c>
      <c r="I106" s="147"/>
      <c r="J106" s="216"/>
      <c r="K106" s="156"/>
      <c r="L106" s="157" t="s">
        <v>22</v>
      </c>
      <c r="M106" s="158">
        <v>1299999</v>
      </c>
      <c r="N106" s="155">
        <f>IF(AND(K106="",M106=""),0,IF(O102&gt;10000000,0,IF(K106="",IF(O103&lt;=M106,1,0),IF(M106="",IF(O103&gt;=K106,1,0),IF(AND(O103&gt;=K106,O103&lt;=M106),1,0)))))</f>
        <v>1</v>
      </c>
      <c r="O106" s="159">
        <f>IF(N106=1,IF(O103-600000&gt;0,O103-600000,0),0)</f>
        <v>0</v>
      </c>
      <c r="P106" s="147"/>
      <c r="Q106" s="216"/>
      <c r="R106" s="156"/>
      <c r="S106" s="157" t="s">
        <v>22</v>
      </c>
      <c r="T106" s="158">
        <v>3299999</v>
      </c>
      <c r="U106" s="155">
        <f>IF(AND(R106="",T106=""),0,IF(V102&gt;10000000,0,IF(R106="",IF(V103&lt;=T106,1,0),IF(T106="",IF(V103&gt;=R106,1,0),IF(AND(V103&gt;=R106,V103&lt;=T106),1,0)))))</f>
        <v>1</v>
      </c>
      <c r="V106" s="159">
        <f>IF(U106=1,IF(V103-1100000&gt;0,V103-1100000,0),0)</f>
        <v>0</v>
      </c>
      <c r="X106" t="s">
        <v>127</v>
      </c>
      <c r="Y106" s="50" t="s">
        <v>71</v>
      </c>
      <c r="Z106" s="51">
        <f>DATE(YEAR(C104)+40,MONTH(C104),DAY(C104))</f>
        <v>14610</v>
      </c>
      <c r="AA106" s="52">
        <f>DATE(YEAR(C104)+65,MONTH(C104),DAY(C104)-1)</f>
        <v>23741</v>
      </c>
      <c r="AB106" s="65">
        <f>IF(AND($Z106&lt;=AO$4,AO$3&lt;$AA106,AB107=1),1,IF(AND($Z106&lt;=AO$4,AO$3&lt;$AA106,AB107=2),2,0))</f>
        <v>0</v>
      </c>
      <c r="AC106" s="65">
        <f t="shared" ref="AC106" si="61">IF(AND($Z106&lt;=AP$4,AP$3&lt;$AA106,AC107=1),1,IF(AND($Z106&lt;=AP$4,AP$3&lt;$AA106,AC107=2),2,0))</f>
        <v>0</v>
      </c>
      <c r="AD106" s="65">
        <f t="shared" ref="AD106" si="62">IF(AND($Z106&lt;=AQ$4,AQ$3&lt;$AA106,AD107=1),1,IF(AND($Z106&lt;=AQ$4,AQ$3&lt;$AA106,AD107=2),2,0))</f>
        <v>0</v>
      </c>
      <c r="AE106" s="65">
        <f t="shared" ref="AE106" si="63">IF(AND($Z106&lt;=AR$4,AR$3&lt;$AA106,AE107=1),1,IF(AND($Z106&lt;=AR$4,AR$3&lt;$AA106,AE107=2),2,0))</f>
        <v>0</v>
      </c>
      <c r="AF106" s="65">
        <f t="shared" ref="AF106" si="64">IF(AND($Z106&lt;=AS$4,AS$3&lt;$AA106,AF107=1),1,IF(AND($Z106&lt;=AS$4,AS$3&lt;$AA106,AF107=2),2,0))</f>
        <v>0</v>
      </c>
      <c r="AG106" s="65">
        <f t="shared" ref="AG106" si="65">IF(AND($Z106&lt;=AT$4,AT$3&lt;$AA106,AG107=1),1,IF(AND($Z106&lt;=AT$4,AT$3&lt;$AA106,AG107=2),2,0))</f>
        <v>0</v>
      </c>
      <c r="AH106" s="65">
        <f t="shared" ref="AH106" si="66">IF(AND($Z106&lt;=AU$4,AU$3&lt;$AA106,AH107=1),1,IF(AND($Z106&lt;=AU$4,AU$3&lt;$AA106,AH107=2),2,0))</f>
        <v>0</v>
      </c>
      <c r="AI106" s="65">
        <f t="shared" ref="AI106" si="67">IF(AND($Z106&lt;=AV$4,AV$3&lt;$AA106,AI107=1),1,IF(AND($Z106&lt;=AV$4,AV$3&lt;$AA106,AI107=2),2,0))</f>
        <v>0</v>
      </c>
      <c r="AJ106" s="65">
        <f t="shared" ref="AJ106" si="68">IF(AND($Z106&lt;=AW$4,AW$3&lt;$AA106,AJ107=1),1,IF(AND($Z106&lt;=AW$4,AW$3&lt;$AA106,AJ107=2),2,0))</f>
        <v>0</v>
      </c>
      <c r="AK106" s="65">
        <f>IF(AND($Z106&lt;=AX$4,AX$3&lt;$AA106,AK107=1),1,IF(AND($Z106&lt;=AX$4,AX$3&lt;$AA106,AK107=2),2,0))</f>
        <v>0</v>
      </c>
      <c r="AL106" s="65">
        <f t="shared" ref="AL106" si="69">IF(AND($Z106&lt;=AY$4,AY$3&lt;$AA106,AL107=1),1,IF(AND($Z106&lt;=AY$4,AY$3&lt;$AA106,AL107=2),2,0))</f>
        <v>0</v>
      </c>
      <c r="AM106" s="65">
        <f t="shared" ref="AM106" si="70">IF(AND($Z106&lt;=AZ$4,AZ$3&lt;$AA106,AM107=1),1,IF(AND($Z106&lt;=AZ$4,AZ$3&lt;$AA106,AM107=2),2,0))</f>
        <v>0</v>
      </c>
      <c r="AN106" s="54">
        <f>COUNTIF(AB106:AM106,1)</f>
        <v>0</v>
      </c>
      <c r="AO106" s="55">
        <f>IF(AN106&gt;0,1,0)</f>
        <v>0</v>
      </c>
      <c r="AP106" s="20" t="s">
        <v>72</v>
      </c>
      <c r="AQ106" s="71"/>
      <c r="AR106" s="20" t="s">
        <v>73</v>
      </c>
      <c r="AS106" s="37">
        <f>H125</f>
        <v>0</v>
      </c>
      <c r="AT106" s="43">
        <f>MAX(IF(AND(Z109=1,Z110=0),AR110+AP109+AS108+IF(AS109&gt;150000,AS109-150000,0),IF(AND(Z109=1,Z110=1),AS110+AP109+AS108+IF(AS109&gt;150000,AS109-150000,0),0)),0)</f>
        <v>0</v>
      </c>
      <c r="AU106" s="56"/>
      <c r="AV106" s="56"/>
      <c r="AW106" s="57" t="s">
        <v>74</v>
      </c>
      <c r="AX106" s="75">
        <f>(AN107-AN109)/12*AU109*$AG$2</f>
        <v>0</v>
      </c>
      <c r="AY106" s="75">
        <f>(AN107-AN109)/12*AU109*$AH$2</f>
        <v>0</v>
      </c>
      <c r="AZ106" s="75">
        <f>IF(AO106=0,0,(AN106-AN108)/12*AU109*$AI$2)</f>
        <v>0</v>
      </c>
      <c r="BA106" s="181">
        <f>(AN107-AN109)/12*AU109*$AE$2</f>
        <v>0</v>
      </c>
    </row>
    <row r="107" spans="1:53">
      <c r="A107" s="7"/>
      <c r="B107" s="2" t="s">
        <v>47</v>
      </c>
      <c r="C107" s="152">
        <f>簡易試算シート!F13</f>
        <v>0</v>
      </c>
      <c r="D107" s="168"/>
      <c r="E107" s="169"/>
      <c r="F107" s="170"/>
      <c r="G107" s="171"/>
      <c r="H107" s="172"/>
      <c r="I107" s="147"/>
      <c r="J107" s="216"/>
      <c r="K107" s="156">
        <v>1300000</v>
      </c>
      <c r="L107" s="157" t="s">
        <v>22</v>
      </c>
      <c r="M107" s="158">
        <v>4099999</v>
      </c>
      <c r="N107" s="155">
        <f>IF(AND(K107="",M107=""),0,IF(O102&gt;10000000,0,IF(K107="",IF(O103&lt;=M107,1,0),IF(M107="",IF(O103&gt;=K107,1,0),IF(AND(O103&gt;=K107,O103&lt;=M107),1,0)))))</f>
        <v>0</v>
      </c>
      <c r="O107" s="159">
        <f>IF(N107=1,ROUNDDOWN(O103*0.75-275000,0),0)</f>
        <v>0</v>
      </c>
      <c r="P107" s="147"/>
      <c r="Q107" s="216"/>
      <c r="R107" s="156">
        <v>3300000</v>
      </c>
      <c r="S107" s="157" t="s">
        <v>22</v>
      </c>
      <c r="T107" s="158">
        <v>4099999</v>
      </c>
      <c r="U107" s="155">
        <f>IF(AND(R107="",T107=""),0,IF(V102&gt;10000000,0,IF(R107="",IF(V103&lt;=T107,1,0),IF(T107="",IF(V103&gt;=R107,1,0),IF(AND(V103&gt;=R107,V103&lt;=T107),1,0)))))</f>
        <v>0</v>
      </c>
      <c r="V107" s="159">
        <f>IF(U107=1,ROUNDDOWN(V103*0.75-275000,0),0)</f>
        <v>0</v>
      </c>
      <c r="Y107" s="50" t="s">
        <v>75</v>
      </c>
      <c r="Z107" s="56"/>
      <c r="AA107" s="56"/>
      <c r="AB107" s="53">
        <f>IF(C104=0,0,IF(C103="有",1,IF(C103="無",2,"有無要選択")))</f>
        <v>0</v>
      </c>
      <c r="AC107" s="53">
        <f>AB107</f>
        <v>0</v>
      </c>
      <c r="AD107" s="53">
        <f>AC107</f>
        <v>0</v>
      </c>
      <c r="AE107" s="53">
        <f t="shared" ref="AE107" si="71">AD107</f>
        <v>0</v>
      </c>
      <c r="AF107" s="53">
        <f t="shared" ref="AF107" si="72">AE107</f>
        <v>0</v>
      </c>
      <c r="AG107" s="53">
        <f t="shared" ref="AG107" si="73">AF107</f>
        <v>0</v>
      </c>
      <c r="AH107" s="53">
        <f t="shared" ref="AH107" si="74">AG107</f>
        <v>0</v>
      </c>
      <c r="AI107" s="53">
        <f t="shared" ref="AI107" si="75">AH107</f>
        <v>0</v>
      </c>
      <c r="AJ107" s="53">
        <f t="shared" ref="AJ107" si="76">AI107</f>
        <v>0</v>
      </c>
      <c r="AK107" s="53">
        <f t="shared" ref="AK107" si="77">AJ107</f>
        <v>0</v>
      </c>
      <c r="AL107" s="53">
        <f t="shared" ref="AL107" si="78">AK107</f>
        <v>0</v>
      </c>
      <c r="AM107" s="53">
        <f>AL107</f>
        <v>0</v>
      </c>
      <c r="AN107" s="54">
        <f>COUNTIF(AB107:AM107,1)</f>
        <v>0</v>
      </c>
      <c r="AO107" s="56"/>
      <c r="AP107" s="22" t="s">
        <v>76</v>
      </c>
      <c r="AQ107" s="72"/>
      <c r="AR107" s="36" t="s">
        <v>77</v>
      </c>
      <c r="AS107" s="35">
        <v>0</v>
      </c>
      <c r="AT107" s="24" t="s">
        <v>78</v>
      </c>
      <c r="AU107" s="42">
        <f>AP109+AP110+AS108+AS109</f>
        <v>0</v>
      </c>
      <c r="AV107" s="56"/>
      <c r="AW107" s="59" t="s">
        <v>79</v>
      </c>
      <c r="AX107" s="70"/>
      <c r="AY107" s="70"/>
      <c r="AZ107" s="70"/>
      <c r="BA107" s="182"/>
    </row>
    <row r="108" spans="1:53">
      <c r="A108" s="7"/>
      <c r="B108" s="16"/>
      <c r="C108" s="166"/>
      <c r="D108" s="168"/>
      <c r="E108" s="169"/>
      <c r="F108" s="170"/>
      <c r="G108" s="171"/>
      <c r="H108" s="172"/>
      <c r="I108" s="147"/>
      <c r="J108" s="216"/>
      <c r="K108" s="156">
        <v>4100000</v>
      </c>
      <c r="L108" s="157" t="s">
        <v>22</v>
      </c>
      <c r="M108" s="158">
        <v>7699999</v>
      </c>
      <c r="N108" s="155">
        <f>IF(AND(K108="",M108=""),0,IF(O102&gt;10000000,0,IF(K108="",IF(O103&lt;=M108,1,0),IF(M108="",IF(O103&gt;=K108,1,0),IF(AND(O103&gt;=K108,O103&lt;=M108),1,0)))))</f>
        <v>0</v>
      </c>
      <c r="O108" s="159">
        <f>IF(N108=1,ROUNDDOWN(O103*0.85-685000,0),0)</f>
        <v>0</v>
      </c>
      <c r="P108" s="147"/>
      <c r="Q108" s="216"/>
      <c r="R108" s="156">
        <v>4100000</v>
      </c>
      <c r="S108" s="157" t="s">
        <v>22</v>
      </c>
      <c r="T108" s="158">
        <v>7699999</v>
      </c>
      <c r="U108" s="155">
        <f>IF(AND(R108="",T108=""),0,IF(V102&gt;10000000,0,IF(R108="",IF(V103&lt;=T108,1,0),IF(T108="",IF(V103&gt;=R108,1,0),IF(AND(V103&gt;=R108,V103&lt;=T108),1,0)))))</f>
        <v>0</v>
      </c>
      <c r="V108" s="159">
        <f>IF(U108=1,ROUNDDOWN(V103*0.85-685000,0),0)</f>
        <v>0</v>
      </c>
      <c r="Y108" s="58" t="s">
        <v>80</v>
      </c>
      <c r="Z108" s="55">
        <f>IF(C104=0,0,IF($AB$1&lt;C104,0,DATEDIF(MIN(C104,DATE(YEAR($AB$1),1,1)),DATE(YEAR($AB$1),1,1),"y")))</f>
        <v>0</v>
      </c>
      <c r="AA108" s="59" t="s">
        <v>81</v>
      </c>
      <c r="AB108" s="60">
        <v>0</v>
      </c>
      <c r="AC108" s="60">
        <v>0</v>
      </c>
      <c r="AD108" s="60">
        <v>0</v>
      </c>
      <c r="AE108" s="60">
        <v>0</v>
      </c>
      <c r="AF108" s="60">
        <v>0</v>
      </c>
      <c r="AG108" s="60">
        <v>0</v>
      </c>
      <c r="AH108" s="60">
        <v>0</v>
      </c>
      <c r="AI108" s="60">
        <v>0</v>
      </c>
      <c r="AJ108" s="60">
        <v>0</v>
      </c>
      <c r="AK108" s="60">
        <v>0</v>
      </c>
      <c r="AL108" s="60">
        <v>0</v>
      </c>
      <c r="AM108" s="60">
        <v>0</v>
      </c>
      <c r="AN108" s="60">
        <v>0</v>
      </c>
      <c r="AO108" s="32" t="s">
        <v>82</v>
      </c>
      <c r="AP108" s="33"/>
      <c r="AQ108" s="221" t="s">
        <v>83</v>
      </c>
      <c r="AR108" s="221"/>
      <c r="AS108" s="38">
        <f>O125</f>
        <v>0</v>
      </c>
      <c r="AT108" s="32" t="s">
        <v>84</v>
      </c>
      <c r="AU108" s="33">
        <f>AS107+AP109+AS108+AS109</f>
        <v>0</v>
      </c>
      <c r="AV108" s="56"/>
      <c r="AW108" s="57" t="s">
        <v>85</v>
      </c>
      <c r="AX108" s="76">
        <f>IF(C103="無",0,IF(AN107=0,0,IF(AD110="0",$AG$3*AN107/12,IF($AV$201=0,$AG$3*AN107/12*5/10,$AG$3*AN107/12))))</f>
        <v>0</v>
      </c>
      <c r="AY108" s="76">
        <f>IF(C103="無",0,IF(AN107=0,0,IF(AD110="0",$AH$3*AN107/12,IF($AV$201=0,$AH$3*AN107/12*5/10,$AH$3*AN107/12))))</f>
        <v>0</v>
      </c>
      <c r="AZ108" s="175">
        <f>IF(C103="無",0,IF(AN106&gt;0,$AI$3*AN106/12,0))</f>
        <v>0</v>
      </c>
      <c r="BA108" s="181">
        <f>IF(AF110="1",0,IF(C103="無",0,IF(AN107=0,0,IF(AD110="0",$AE$3*AN107/12,IF($AV$201=0,$AE$3*AN107/12*5/10,$AE$3*AN107/12)))))</f>
        <v>0</v>
      </c>
    </row>
    <row r="109" spans="1:53" ht="33.75">
      <c r="A109" s="7"/>
      <c r="B109" s="16"/>
      <c r="C109" s="166"/>
      <c r="D109" s="168"/>
      <c r="E109" s="169"/>
      <c r="F109" s="170"/>
      <c r="G109" s="171"/>
      <c r="H109" s="172"/>
      <c r="I109" s="147"/>
      <c r="J109" s="216"/>
      <c r="K109" s="156">
        <v>7700000</v>
      </c>
      <c r="L109" s="157" t="s">
        <v>22</v>
      </c>
      <c r="M109" s="158">
        <v>9999999</v>
      </c>
      <c r="N109" s="155">
        <f>IF(AND(K109="",M109=""),0,IF(O102&gt;10000000,0,IF(K109="",IF(O103&lt;=M109,1,0),IF(M109="",IF(O103&gt;=K109,1,0),IF(AND(O103&gt;=K109,O103&lt;=M109),1,0)))))</f>
        <v>0</v>
      </c>
      <c r="O109" s="159">
        <f>IF(N109=1,ROUNDDOWN(O103*0.95-1455000,0),0)</f>
        <v>0</v>
      </c>
      <c r="P109" s="147"/>
      <c r="Q109" s="216"/>
      <c r="R109" s="156">
        <v>7700000</v>
      </c>
      <c r="S109" s="157" t="s">
        <v>22</v>
      </c>
      <c r="T109" s="158">
        <v>9999999</v>
      </c>
      <c r="U109" s="155">
        <f>IF(AND(R109="",T109=""),0,IF(V102&gt;10000000,0,IF(R109="",IF(V103&lt;=T109,1,0),IF(T109="",IF(V103&gt;=R109,1,0),IF(AND(V103&gt;=R109,V103&lt;=T109),1,0)))))</f>
        <v>0</v>
      </c>
      <c r="V109" s="159">
        <f>IF(U109=1,ROUNDDOWN(V103*0.95-1455000,0),0)</f>
        <v>0</v>
      </c>
      <c r="Y109" s="58" t="s">
        <v>86</v>
      </c>
      <c r="Z109" s="55">
        <f>IF(C104=0,0,1)</f>
        <v>0</v>
      </c>
      <c r="AA109" s="61" t="s">
        <v>87</v>
      </c>
      <c r="AB109" s="60">
        <v>0</v>
      </c>
      <c r="AC109" s="60">
        <v>0</v>
      </c>
      <c r="AD109" s="60">
        <v>0</v>
      </c>
      <c r="AE109" s="60">
        <v>0</v>
      </c>
      <c r="AF109" s="60">
        <v>0</v>
      </c>
      <c r="AG109" s="60">
        <v>0</v>
      </c>
      <c r="AH109" s="60">
        <v>0</v>
      </c>
      <c r="AI109" s="60">
        <v>0</v>
      </c>
      <c r="AJ109" s="60">
        <v>0</v>
      </c>
      <c r="AK109" s="60">
        <v>0</v>
      </c>
      <c r="AL109" s="60">
        <v>0</v>
      </c>
      <c r="AM109" s="60">
        <v>0</v>
      </c>
      <c r="AN109" s="60">
        <f>COUNTIF(AB109:AM109,1)</f>
        <v>0</v>
      </c>
      <c r="AO109" s="24" t="s">
        <v>88</v>
      </c>
      <c r="AP109" s="34">
        <f>C107</f>
        <v>0</v>
      </c>
      <c r="AQ109" s="221" t="s">
        <v>89</v>
      </c>
      <c r="AR109" s="221"/>
      <c r="AS109" s="39">
        <f>V125</f>
        <v>0</v>
      </c>
      <c r="AT109" s="24" t="s">
        <v>90</v>
      </c>
      <c r="AU109" s="41">
        <f>IF(C103="無",0,IF(AU107&lt;430000,0,AU107-430000))</f>
        <v>0</v>
      </c>
      <c r="AV109" s="56"/>
      <c r="AW109" s="79" t="s">
        <v>91</v>
      </c>
      <c r="AX109" s="78">
        <f>IF(C103="無",0,IF(AN107=0,0,IF(AD110="0",$AG$3*AN107/12,IF($AV$201=0,$AG$3*AN107/12*5/10,IF($AV$201=7,$AG$3*AN107/12*0.85,IF($AV$201=5,$AG$3*AN107/12*0.75,IF($AV$201=2,$AG$3*AN107/12*0.6,$AG$3*AN107/12)))))))</f>
        <v>0</v>
      </c>
      <c r="AY109" s="78">
        <f>IF(C103="無",0,IF(AN107=0,0,IF(AD110="0",$AH$3*AN107/12,IF($AV$201=0,$AH$3*AN107/12*5/10,IF($AV$201=7,$AH$3*AN107/12*0.85,IF($AV$201=5,$AH$3*AN107/12*0.75,IF($AV$201=2,$AH$3*AN107/12*0.6,$AH$3*AN107/12)))))))</f>
        <v>0</v>
      </c>
      <c r="AZ109" s="56" t="s">
        <v>203</v>
      </c>
      <c r="BA109" s="62" t="s">
        <v>203</v>
      </c>
    </row>
    <row r="110" spans="1:53" ht="33.75">
      <c r="A110" s="7"/>
      <c r="B110" s="16"/>
      <c r="C110" s="166"/>
      <c r="D110" s="168"/>
      <c r="E110" s="169"/>
      <c r="F110" s="170"/>
      <c r="G110" s="171"/>
      <c r="H110" s="172"/>
      <c r="I110" s="147"/>
      <c r="J110" s="216"/>
      <c r="K110" s="156">
        <v>10000000</v>
      </c>
      <c r="L110" s="157" t="s">
        <v>22</v>
      </c>
      <c r="M110" s="158"/>
      <c r="N110" s="155">
        <f>IF(AND(K110="",M110=""),0,IF(O102&gt;10000000,0,IF(K110="",IF(O103&lt;=M110,1,0),IF(M110="",IF(O103&gt;=K110,1,0),IF(AND(O103&gt;=K110,O103&lt;=M110),1,0)))))</f>
        <v>0</v>
      </c>
      <c r="O110" s="159">
        <f>IF(N110=1,O103-1955000,0)</f>
        <v>0</v>
      </c>
      <c r="P110" s="147"/>
      <c r="Q110" s="216"/>
      <c r="R110" s="156">
        <v>10000000</v>
      </c>
      <c r="S110" s="157" t="s">
        <v>22</v>
      </c>
      <c r="T110" s="158"/>
      <c r="U110" s="155">
        <f>IF(AND(R110="",T110=""),0,IF(V102&gt;10000000,0,IF(R110="",IF(V103&lt;=T110,1,0),IF(T110="",IF(V103&gt;=R110,1,0),IF(AND(V103&gt;=R110,V103&lt;=T110),1,0)))))</f>
        <v>0</v>
      </c>
      <c r="V110" s="159">
        <f>IF(U110=1,V103-1955000,0)</f>
        <v>0</v>
      </c>
      <c r="Y110" s="63" t="s">
        <v>92</v>
      </c>
      <c r="Z110" s="60">
        <v>0</v>
      </c>
      <c r="AA110" s="64" t="s">
        <v>93</v>
      </c>
      <c r="AB110" s="130">
        <f>IF(Z109=0,0,IF(H103&gt;550000,1,IF(O103&gt;600000,1,IF(V103&gt;1250000,1,0))))</f>
        <v>0</v>
      </c>
      <c r="AC110" s="77" t="s">
        <v>94</v>
      </c>
      <c r="AD110" s="66" t="str">
        <f>IF(C104&gt;=EDATE($AB$1,-72)+1,"1","0")</f>
        <v>0</v>
      </c>
      <c r="AE110" s="173" t="s">
        <v>201</v>
      </c>
      <c r="AF110" s="174" t="str">
        <f>IF(C104&gt;=EDATE($AB$1,-216)+1,"1","0")</f>
        <v>0</v>
      </c>
      <c r="AG110" s="56"/>
      <c r="AH110" s="56"/>
      <c r="AI110" s="56"/>
      <c r="AJ110" s="56"/>
      <c r="AK110" s="56"/>
      <c r="AL110" s="56"/>
      <c r="AM110" s="56"/>
      <c r="AN110" s="56"/>
      <c r="AO110" s="26" t="s">
        <v>95</v>
      </c>
      <c r="AP110" s="43">
        <f>IF(AND(AS106+AP108&gt;0,AS108+AS109&gt;0),IF(AS106+AP108+AS108+AS109&lt;=100000,AS106+AP108,AS106+AP108-(MIN(AS106+AP108,100000)+MIN(AS108+AS109,100000)-100000)),AS106+AP108)</f>
        <v>0</v>
      </c>
      <c r="AQ110" s="27" t="s">
        <v>96</v>
      </c>
      <c r="AR110" s="43">
        <f>IF(AND(AS106+AP108&gt;0,AS108+AS109-MIN(AS109,150000)&gt;0),IF(AS106+AP108+AS108+AS109-MIN(AS109,150000)&lt;=100000,AS106+AP108,AS106+AP108-(MIN(AS106+AP108,100000)+MIN(AS108+AS109-MIN(AS109,150000),100000)-100000)),AS106+AP108)</f>
        <v>0</v>
      </c>
      <c r="AS110" s="67">
        <f>IF(AND(AS106*30/100&gt;0,AS108+AS109-MIN(AS109,150000)&gt;0),IF(AS106*30/100+AS108+AS109-MIN(AS109,150000)&lt;=100000,AS106*30/100,AS106*30/100-(MIN(AS106*30/100,100000)+MIN(AS108+AS109-MIN(AS109,150000),100000)-100000)),AS106*30/100)</f>
        <v>0</v>
      </c>
      <c r="AT110" s="32" t="s">
        <v>97</v>
      </c>
      <c r="AU110" s="40">
        <f>IF(M110=99,0,IF(AU108&lt;430000,0,AU108-430000))</f>
        <v>0</v>
      </c>
      <c r="AV110" s="56"/>
      <c r="AW110" s="118" t="s">
        <v>163</v>
      </c>
      <c r="AX110" s="56">
        <f>IF($AV$201=0,AX108,IF(OR(C103="無",AN107=0),0,$AG$3*AN107/12*0.1*(10-$AV$201)*IF(AD110="1",0.5,1)))</f>
        <v>0</v>
      </c>
      <c r="AY110" s="56">
        <f>IF($AV$201=0,AY108,IF(OR(C103="無",AN107=0),0,$AH$3*AN107/12*0.1*(10-$AV$201)*IF(AD110="1",0.5,1)))</f>
        <v>0</v>
      </c>
      <c r="AZ110" s="180">
        <f>IF($AV$201=0,AZ108,IF(OR(C103="無",AN106=0),0,$AI$3*AN106/12*0.1*(10-$AV$201)))</f>
        <v>0</v>
      </c>
      <c r="BA110" s="181">
        <f>IF($AV$201=0,BA108,IF(OR(C103="無",AN107=0),0,$AE$3*AN107/12*0.1*(10-$AV$201)))</f>
        <v>0</v>
      </c>
    </row>
    <row r="111" spans="1:53" ht="14.25" thickBot="1">
      <c r="A111" s="7"/>
      <c r="B111" s="16"/>
      <c r="C111" s="166"/>
      <c r="D111" s="168"/>
      <c r="E111" s="169"/>
      <c r="F111" s="170"/>
      <c r="G111" s="171"/>
      <c r="H111" s="172"/>
      <c r="I111" s="147"/>
      <c r="J111" s="216"/>
      <c r="K111" s="156"/>
      <c r="L111" s="162" t="s">
        <v>25</v>
      </c>
      <c r="M111" s="158"/>
      <c r="N111" s="155"/>
      <c r="O111" s="159"/>
      <c r="P111" s="147"/>
      <c r="Q111" s="216"/>
      <c r="R111" s="156"/>
      <c r="S111" s="162" t="s">
        <v>25</v>
      </c>
      <c r="T111" s="158"/>
      <c r="U111" s="155"/>
      <c r="V111" s="159"/>
      <c r="Y111" s="68"/>
      <c r="Z111" s="69"/>
      <c r="AA111" s="69"/>
      <c r="AB111" s="69"/>
      <c r="AC111" s="69"/>
      <c r="AD111" s="69"/>
      <c r="AE111" s="69"/>
      <c r="AF111" s="69"/>
      <c r="AG111" s="69"/>
      <c r="AH111" s="69"/>
      <c r="AI111" s="69"/>
      <c r="AJ111" s="69"/>
      <c r="AK111" s="69"/>
      <c r="AL111" s="69"/>
      <c r="AM111" s="69"/>
      <c r="AN111" s="69"/>
      <c r="AO111" s="69"/>
      <c r="AP111" s="69"/>
      <c r="AQ111" s="69"/>
      <c r="AR111" s="69"/>
      <c r="AS111" s="69"/>
      <c r="AT111" s="69"/>
      <c r="AU111" s="69"/>
      <c r="AV111" s="69"/>
      <c r="AW111" s="69"/>
      <c r="AX111" s="69"/>
      <c r="AY111" s="69"/>
      <c r="AZ111" s="69"/>
      <c r="BA111" s="178"/>
    </row>
    <row r="112" spans="1:53">
      <c r="A112" s="7"/>
      <c r="B112" s="16"/>
      <c r="C112" s="166"/>
      <c r="D112" s="11">
        <v>1900000</v>
      </c>
      <c r="E112" s="157" t="s">
        <v>22</v>
      </c>
      <c r="F112" s="158">
        <v>3599999</v>
      </c>
      <c r="G112" s="155">
        <f>IF(AND(D112="",F112=""),0,IF(D112="",IF($H$103&lt;=F112,1,0),IF(F112="",IF($H$103&gt;=D112,1,0),IF(AND($H$103&gt;=D112,$H$103&lt;=F112),1,0))))</f>
        <v>0</v>
      </c>
      <c r="H112" s="163">
        <f>IF(G112=1,ROUNDDOWN(ROUNDDOWN(H103/4,-3)*2.8,0)-80000,0)</f>
        <v>0</v>
      </c>
      <c r="I112" s="147"/>
      <c r="J112" s="216"/>
      <c r="K112" s="156"/>
      <c r="L112" s="157" t="s">
        <v>22</v>
      </c>
      <c r="M112" s="158">
        <v>1299999</v>
      </c>
      <c r="N112" s="155">
        <f>IF(AND(K112="",M112=""),0,IF(O102&lt;=10000000,0,IF(O102&gt;20000000,0,IF(K112="",IF(O103&lt;=M112,1,0),IF(M112="",IF(O103&gt;=K112,1,0),IF(AND(O103&gt;=K112,O103&lt;=M112),1,0))))))</f>
        <v>0</v>
      </c>
      <c r="O112" s="159">
        <f>IF(N112=1,IF(O103-500000&gt;0,O103-500000,0),0)</f>
        <v>0</v>
      </c>
      <c r="P112" s="147"/>
      <c r="Q112" s="216"/>
      <c r="R112" s="156"/>
      <c r="S112" s="157" t="s">
        <v>22</v>
      </c>
      <c r="T112" s="158">
        <v>3299999</v>
      </c>
      <c r="U112" s="155">
        <f>IF(AND(R112="",T112=""),0,IF(V102&lt;=10000000,0,IF(V102&gt;20000000,0,IF(R112="",IF(V103&lt;=T112,1,0),IF(T112="",IF(V103&gt;=R112,1,0),IF(AND(V103&gt;=R112,V103&lt;=T112),1,0))))))</f>
        <v>0</v>
      </c>
      <c r="V112" s="159">
        <f>IF(U112=1,IF(V103-1000000&gt;0,V103-1000000,0),0)</f>
        <v>0</v>
      </c>
      <c r="Y112" s="7"/>
      <c r="Z112" s="7"/>
      <c r="AA112" s="7"/>
      <c r="AB112" s="7"/>
      <c r="AC112" s="7"/>
      <c r="AD112" s="7"/>
      <c r="AE112" s="7"/>
      <c r="AF112" s="7"/>
      <c r="AG112" s="7"/>
      <c r="AH112" s="7"/>
      <c r="AI112" s="7"/>
      <c r="AJ112" s="7"/>
      <c r="AK112" s="7"/>
      <c r="AL112" s="7"/>
      <c r="AM112" s="7"/>
      <c r="AN112" s="7"/>
      <c r="AO112" s="7"/>
      <c r="AP112" s="7"/>
      <c r="AQ112" s="7"/>
      <c r="AR112" s="7"/>
      <c r="AS112" s="7"/>
      <c r="AT112" s="7"/>
      <c r="AU112" s="7"/>
      <c r="AV112" s="7"/>
      <c r="AW112" s="7"/>
      <c r="AX112" s="7"/>
      <c r="AY112" s="7"/>
      <c r="AZ112" s="7"/>
    </row>
    <row r="113" spans="1:52">
      <c r="A113" s="7"/>
      <c r="B113" s="16"/>
      <c r="C113" s="166"/>
      <c r="D113" s="156">
        <v>3600000</v>
      </c>
      <c r="E113" s="157" t="s">
        <v>22</v>
      </c>
      <c r="F113" s="158">
        <v>6599999</v>
      </c>
      <c r="G113" s="155">
        <f t="shared" si="60"/>
        <v>0</v>
      </c>
      <c r="H113" s="163">
        <f>IF(G113=1,ROUNDDOWN(ROUNDDOWN(H103/4,-3)*3.2,0)-440000,0)</f>
        <v>0</v>
      </c>
      <c r="I113" s="147"/>
      <c r="J113" s="216"/>
      <c r="K113" s="156">
        <v>1300000</v>
      </c>
      <c r="L113" s="157" t="s">
        <v>22</v>
      </c>
      <c r="M113" s="158">
        <v>4099999</v>
      </c>
      <c r="N113" s="155">
        <f>IF(AND(K113="",M113=""),0,IF(O102&lt;=10000000,0,IF(O102&gt;20000000,0,IF(K113="",IF(O103&lt;=M113,1,0),IF(M113="",IF(O103&gt;=K113,1,0),IF(AND(O103&gt;=K113,O103&lt;=M113),1,0))))))</f>
        <v>0</v>
      </c>
      <c r="O113" s="159">
        <f>IF(N113=1,ROUNDDOWN(O103*0.75-175000,0),0)</f>
        <v>0</v>
      </c>
      <c r="P113" s="147"/>
      <c r="Q113" s="216"/>
      <c r="R113" s="156">
        <v>3300000</v>
      </c>
      <c r="S113" s="157" t="s">
        <v>22</v>
      </c>
      <c r="T113" s="158">
        <v>4099999</v>
      </c>
      <c r="U113" s="155">
        <f>IF(AND(R113="",T113=""),0,IF(V102&lt;=10000000,0,IF(V102&gt;20000000,0,IF(R113="",IF(V103&lt;=T113,1,0),IF(T113="",IF(V103&gt;=R113,1,0),IF(AND(V103&gt;=R113,V103&lt;=T113),1,0))))))</f>
        <v>0</v>
      </c>
      <c r="V113" s="159">
        <f>IF(U113=1,ROUNDDOWN(V103*0.75-175000,0),0)</f>
        <v>0</v>
      </c>
      <c r="Y113" s="7"/>
      <c r="Z113" s="7"/>
      <c r="AA113" s="7"/>
      <c r="AB113" s="7"/>
      <c r="AC113" s="7"/>
      <c r="AD113" s="7"/>
      <c r="AE113" s="7"/>
      <c r="AF113" s="7"/>
      <c r="AG113" s="7"/>
      <c r="AH113" s="7"/>
      <c r="AI113" s="7"/>
      <c r="AJ113" s="7"/>
      <c r="AK113" s="7"/>
      <c r="AL113" s="7"/>
      <c r="AM113" s="7"/>
      <c r="AN113" s="7"/>
      <c r="AO113" s="7"/>
      <c r="AP113" s="7"/>
      <c r="AQ113" s="7"/>
      <c r="AR113" s="7"/>
      <c r="AS113" s="7"/>
      <c r="AT113" s="7"/>
      <c r="AU113" s="7"/>
      <c r="AV113" s="7"/>
      <c r="AW113" s="7"/>
      <c r="AX113" s="7"/>
      <c r="AY113" s="7"/>
      <c r="AZ113" s="7"/>
    </row>
    <row r="114" spans="1:52">
      <c r="A114" s="7"/>
      <c r="B114" s="16"/>
      <c r="C114" s="166"/>
      <c r="D114" s="156">
        <v>6600000</v>
      </c>
      <c r="E114" s="157" t="s">
        <v>22</v>
      </c>
      <c r="F114" s="158">
        <v>8499999</v>
      </c>
      <c r="G114" s="155">
        <f t="shared" si="60"/>
        <v>0</v>
      </c>
      <c r="H114" s="163">
        <f>IF(G114=1,ROUNDDOWN(H103*0.9-1100000,0),0)</f>
        <v>0</v>
      </c>
      <c r="I114" s="147"/>
      <c r="J114" s="216"/>
      <c r="K114" s="156">
        <v>4100000</v>
      </c>
      <c r="L114" s="157" t="s">
        <v>22</v>
      </c>
      <c r="M114" s="158">
        <v>7699999</v>
      </c>
      <c r="N114" s="155">
        <f>IF(AND(K114="",M114=""),0,IF(O102&lt;=10000000,0,IF(O102&gt;20000000,0,IF(K114="",IF(O103&lt;=M114,1,0),IF(M114="",IF(O103&gt;=K114,1,0),IF(AND(O103&gt;=K114,O103&lt;=M114),1,0))))))</f>
        <v>0</v>
      </c>
      <c r="O114" s="159">
        <f>IF(N114=1,ROUNDDOWN(O103*0.85-585000,0),0)</f>
        <v>0</v>
      </c>
      <c r="P114" s="147"/>
      <c r="Q114" s="216"/>
      <c r="R114" s="156">
        <v>4100000</v>
      </c>
      <c r="S114" s="157" t="s">
        <v>22</v>
      </c>
      <c r="T114" s="158">
        <v>7699999</v>
      </c>
      <c r="U114" s="155">
        <f>IF(AND(R114="",T114=""),0,IF(V102&lt;=10000000,0,IF(V102&gt;20000000,0,IF(R114="",IF(V103&lt;=T114,1,0),IF(T114="",IF(V103&gt;=R114,1,0),IF(AND(V103&gt;=R114,V103&lt;=T114),1,0))))))</f>
        <v>0</v>
      </c>
      <c r="V114" s="159">
        <f>IF(U114=1,ROUNDDOWN(V103*0.85-585000,0),0)</f>
        <v>0</v>
      </c>
      <c r="Y114" s="7"/>
      <c r="Z114" s="7"/>
      <c r="AA114" s="7"/>
      <c r="AB114" s="7"/>
      <c r="AC114" s="7"/>
      <c r="AD114" s="7"/>
      <c r="AE114" s="7"/>
      <c r="AF114" s="7"/>
      <c r="AG114" s="7"/>
      <c r="AH114" s="7"/>
      <c r="AI114" s="7"/>
      <c r="AJ114" s="7"/>
      <c r="AK114" s="7"/>
      <c r="AL114" s="7"/>
      <c r="AM114" s="7"/>
      <c r="AN114" s="7"/>
      <c r="AO114" s="7"/>
      <c r="AP114" s="7"/>
      <c r="AQ114" s="7"/>
      <c r="AR114" s="7"/>
      <c r="AS114" s="7"/>
      <c r="AT114" s="7"/>
      <c r="AU114" s="7"/>
      <c r="AV114" s="7"/>
      <c r="AW114" s="7"/>
      <c r="AX114" s="7"/>
      <c r="AY114" s="7"/>
      <c r="AZ114" s="7"/>
    </row>
    <row r="115" spans="1:52">
      <c r="A115" s="7"/>
      <c r="B115" s="16"/>
      <c r="C115" s="166"/>
      <c r="D115" s="156">
        <v>8500000</v>
      </c>
      <c r="E115" s="157" t="s">
        <v>22</v>
      </c>
      <c r="F115" s="158"/>
      <c r="G115" s="155">
        <f t="shared" si="60"/>
        <v>0</v>
      </c>
      <c r="H115" s="163">
        <f>IF(G115=1,H103-1950000,0)</f>
        <v>0</v>
      </c>
      <c r="I115" s="147"/>
      <c r="J115" s="216"/>
      <c r="K115" s="156">
        <v>7700000</v>
      </c>
      <c r="L115" s="157" t="s">
        <v>22</v>
      </c>
      <c r="M115" s="158">
        <v>9999999</v>
      </c>
      <c r="N115" s="155">
        <f>IF(AND(K115="",M115=""),0,IF(O102&lt;=10000000,0,IF(O102&gt;20000000,0,IF(K115="",IF(O103&lt;=M115,1,0),IF(M115="",IF(O103&gt;=K115,1,0),IF(AND(O103&gt;=K115,O103&lt;=M115),1,0))))))</f>
        <v>0</v>
      </c>
      <c r="O115" s="159">
        <f>IF(N115=1,ROUNDDOWN(O103*0.95-1355000,0),0)</f>
        <v>0</v>
      </c>
      <c r="P115" s="147"/>
      <c r="Q115" s="216"/>
      <c r="R115" s="156">
        <v>7700000</v>
      </c>
      <c r="S115" s="157" t="s">
        <v>22</v>
      </c>
      <c r="T115" s="158">
        <v>9999999</v>
      </c>
      <c r="U115" s="155">
        <f>IF(AND(R115="",T115=""),0,IF(V102&lt;=10000000,0,IF(V102&gt;20000000,0,IF(R115="",IF(V103&lt;=T115,1,0),IF(T115="",IF(V103&gt;=R115,1,0),IF(AND(V103&gt;=R115,V103&lt;=T115),1,0))))))</f>
        <v>0</v>
      </c>
      <c r="V115" s="159">
        <f>IF(U115=1,ROUNDDOWN(V103*0.95-1355000,0),0)</f>
        <v>0</v>
      </c>
      <c r="Y115" s="7"/>
      <c r="Z115" s="7"/>
      <c r="AA115" s="7"/>
      <c r="AB115" s="7"/>
      <c r="AC115" s="7"/>
      <c r="AD115" s="7"/>
      <c r="AE115" s="7"/>
      <c r="AF115" s="7"/>
      <c r="AG115" s="7"/>
      <c r="AH115" s="7"/>
      <c r="AI115" s="7"/>
      <c r="AJ115" s="7"/>
      <c r="AK115" s="7"/>
      <c r="AL115" s="7"/>
      <c r="AM115" s="7"/>
      <c r="AN115" s="7"/>
      <c r="AO115" s="7"/>
      <c r="AP115" s="7"/>
      <c r="AQ115" s="7"/>
      <c r="AR115" s="7"/>
      <c r="AS115" s="7"/>
      <c r="AT115" s="7"/>
      <c r="AU115" s="7"/>
      <c r="AV115" s="7"/>
      <c r="AW115" s="7"/>
      <c r="AX115" s="7"/>
      <c r="AY115" s="7"/>
      <c r="AZ115" s="7"/>
    </row>
    <row r="116" spans="1:52">
      <c r="A116" s="7"/>
      <c r="B116" s="16"/>
      <c r="C116" s="166"/>
      <c r="D116" s="156"/>
      <c r="E116" s="157" t="s">
        <v>22</v>
      </c>
      <c r="F116" s="158"/>
      <c r="G116" s="155">
        <f t="shared" si="60"/>
        <v>0</v>
      </c>
      <c r="H116" s="163"/>
      <c r="I116" s="147"/>
      <c r="J116" s="216"/>
      <c r="K116" s="156">
        <v>10000000</v>
      </c>
      <c r="L116" s="157" t="s">
        <v>22</v>
      </c>
      <c r="M116" s="158"/>
      <c r="N116" s="155">
        <f>IF(AND(K116="",M116=""),0,IF(O102&lt;=10000000,0,IF(O102&gt;20000000,0,IF(K116="",IF(O103&lt;=M116,1,0),IF(M116="",IF(O103&gt;=K116,1,0),IF(AND(O103&gt;=K116,O103&lt;=M116),1,0))))))</f>
        <v>0</v>
      </c>
      <c r="O116" s="159">
        <f>IF(N116=1,O103-1855000,0)</f>
        <v>0</v>
      </c>
      <c r="P116" s="147"/>
      <c r="Q116" s="216"/>
      <c r="R116" s="156">
        <v>10000000</v>
      </c>
      <c r="S116" s="157" t="s">
        <v>22</v>
      </c>
      <c r="T116" s="158"/>
      <c r="U116" s="155">
        <f>IF(AND(R116="",T116=""),0,IF(V102&lt;=10000000,0,IF(V102&gt;20000000,0,IF(R116="",IF(V103&lt;=T116,1,0),IF(T116="",IF(V103&gt;=R116,1,0),IF(AND(V103&gt;=R116,V103&lt;=T116),1,0))))))</f>
        <v>0</v>
      </c>
      <c r="V116" s="159">
        <f>IF(U116=1,V103-1855000,0)</f>
        <v>0</v>
      </c>
      <c r="Y116" s="7"/>
      <c r="Z116" s="7"/>
      <c r="AA116" s="7"/>
      <c r="AB116" s="7"/>
      <c r="AC116" s="7"/>
      <c r="AD116" s="7"/>
      <c r="AE116" s="7"/>
      <c r="AF116" s="7"/>
      <c r="AG116" s="7"/>
      <c r="AH116" s="7"/>
      <c r="AI116" s="7"/>
      <c r="AJ116" s="7"/>
      <c r="AK116" s="7"/>
      <c r="AL116" s="7"/>
      <c r="AM116" s="7"/>
      <c r="AN116" s="7"/>
      <c r="AO116" s="7"/>
      <c r="AP116" s="7"/>
      <c r="AQ116" s="7"/>
      <c r="AR116" s="7"/>
      <c r="AS116" s="7"/>
      <c r="AT116" s="7"/>
      <c r="AU116" s="7"/>
      <c r="AV116" s="7"/>
      <c r="AW116" s="7"/>
      <c r="AX116" s="7"/>
      <c r="AY116" s="7"/>
      <c r="AZ116" s="7"/>
    </row>
    <row r="117" spans="1:52">
      <c r="A117" s="7"/>
      <c r="B117" s="16"/>
      <c r="C117" s="166"/>
      <c r="D117" s="156"/>
      <c r="E117" s="157" t="s">
        <v>22</v>
      </c>
      <c r="F117" s="158"/>
      <c r="G117" s="155">
        <f t="shared" si="60"/>
        <v>0</v>
      </c>
      <c r="H117" s="163"/>
      <c r="I117" s="147"/>
      <c r="J117" s="216"/>
      <c r="K117" s="156"/>
      <c r="L117" s="162" t="s">
        <v>27</v>
      </c>
      <c r="M117" s="158"/>
      <c r="N117" s="155"/>
      <c r="O117" s="163"/>
      <c r="P117" s="147"/>
      <c r="Q117" s="216"/>
      <c r="R117" s="156"/>
      <c r="S117" s="162" t="s">
        <v>27</v>
      </c>
      <c r="T117" s="158"/>
      <c r="U117" s="155"/>
      <c r="V117" s="163"/>
      <c r="Y117" s="7"/>
      <c r="Z117" s="7"/>
      <c r="AA117" s="7"/>
      <c r="AB117" s="7"/>
      <c r="AC117" s="7"/>
      <c r="AD117" s="7"/>
      <c r="AE117" s="7"/>
      <c r="AF117" s="7"/>
      <c r="AG117" s="7"/>
      <c r="AH117" s="7"/>
      <c r="AI117" s="7"/>
      <c r="AJ117" s="7"/>
      <c r="AK117" s="7"/>
      <c r="AL117" s="7"/>
      <c r="AM117" s="7"/>
      <c r="AN117" s="7"/>
      <c r="AO117" s="7"/>
      <c r="AP117" s="7"/>
      <c r="AQ117" s="7"/>
      <c r="AR117" s="7"/>
      <c r="AS117" s="7"/>
      <c r="AT117" s="7"/>
      <c r="AU117" s="7"/>
      <c r="AV117" s="7"/>
      <c r="AW117" s="7"/>
      <c r="AX117" s="7"/>
      <c r="AY117" s="7"/>
      <c r="AZ117" s="7"/>
    </row>
    <row r="118" spans="1:52">
      <c r="A118" s="7"/>
      <c r="B118" s="16"/>
      <c r="C118" s="166"/>
      <c r="D118" s="156"/>
      <c r="E118" s="157" t="s">
        <v>22</v>
      </c>
      <c r="F118" s="158"/>
      <c r="G118" s="155">
        <f t="shared" si="60"/>
        <v>0</v>
      </c>
      <c r="H118" s="163"/>
      <c r="I118" s="147"/>
      <c r="J118" s="216"/>
      <c r="K118" s="156"/>
      <c r="L118" s="157" t="s">
        <v>22</v>
      </c>
      <c r="M118" s="158">
        <v>1299999</v>
      </c>
      <c r="N118" s="155">
        <f>IF(AND(K118="",M118=""),0,IF(O102&lt;=20000000,0,IF(K118="",IF(O103&lt;=M118,1,0),IF(M118="",IF(O103&gt;=K118,1,0),IF(AND(O103&gt;=K118,O103&lt;=M118),1,0)))))</f>
        <v>0</v>
      </c>
      <c r="O118" s="159">
        <f>IF(N118=1,IF(O103-400000&gt;0,O103-400000,0),0)</f>
        <v>0</v>
      </c>
      <c r="P118" s="147"/>
      <c r="Q118" s="216"/>
      <c r="R118" s="156"/>
      <c r="S118" s="157" t="s">
        <v>22</v>
      </c>
      <c r="T118" s="158">
        <v>3299999</v>
      </c>
      <c r="U118" s="155">
        <f>IF(AND(R118="",T118=""),0,IF(V102&lt;=20000000,0,IF(R118="",IF(V103&lt;=T118,1,0),IF(T118="",IF(V103&gt;=R118,1,0),IF(AND(V103&gt;=R118,V103&lt;=T118),1,0)))))</f>
        <v>0</v>
      </c>
      <c r="V118" s="159">
        <f>IF(U118=1,IF(V103-900000&gt;0,V103-900000,0),0)</f>
        <v>0</v>
      </c>
      <c r="Y118" s="7"/>
      <c r="Z118" s="7"/>
      <c r="AA118" s="7"/>
      <c r="AB118" s="7"/>
      <c r="AC118" s="7"/>
      <c r="AD118" s="7"/>
      <c r="AE118" s="7"/>
      <c r="AF118" s="7"/>
      <c r="AG118" s="7"/>
      <c r="AH118" s="7"/>
      <c r="AI118" s="7"/>
      <c r="AJ118" s="7"/>
      <c r="AK118" s="7"/>
      <c r="AL118" s="7"/>
      <c r="AM118" s="7"/>
      <c r="AN118" s="7"/>
      <c r="AO118" s="7"/>
      <c r="AP118" s="7"/>
      <c r="AQ118" s="7"/>
      <c r="AR118" s="7"/>
      <c r="AS118" s="7"/>
      <c r="AT118" s="7"/>
      <c r="AU118" s="7"/>
      <c r="AV118" s="7"/>
      <c r="AW118" s="7"/>
      <c r="AX118" s="7"/>
      <c r="AY118" s="7"/>
      <c r="AZ118" s="7"/>
    </row>
    <row r="119" spans="1:52">
      <c r="A119" s="7"/>
      <c r="B119" s="16"/>
      <c r="C119" s="166"/>
      <c r="D119" s="156"/>
      <c r="E119" s="157" t="s">
        <v>22</v>
      </c>
      <c r="F119" s="158"/>
      <c r="G119" s="155">
        <f t="shared" si="60"/>
        <v>0</v>
      </c>
      <c r="H119" s="163"/>
      <c r="I119" s="147"/>
      <c r="J119" s="216"/>
      <c r="K119" s="156">
        <v>1300000</v>
      </c>
      <c r="L119" s="157" t="s">
        <v>22</v>
      </c>
      <c r="M119" s="158">
        <v>4099999</v>
      </c>
      <c r="N119" s="155">
        <f>IF(AND(K119="",M119=""),0,IF(O102&lt;=20000000,0,IF(K119="",IF(O103&lt;=M119,1,0),IF(M119="",IF(O103&gt;=K119,1,0),IF(AND(O103&gt;=K119,O103&lt;=M119),1,0)))))</f>
        <v>0</v>
      </c>
      <c r="O119" s="159">
        <f>IF(N119=1,ROUNDDOWN(O103*0.75-75000,0),0)</f>
        <v>0</v>
      </c>
      <c r="P119" s="147"/>
      <c r="Q119" s="216"/>
      <c r="R119" s="156">
        <v>3300000</v>
      </c>
      <c r="S119" s="157" t="s">
        <v>22</v>
      </c>
      <c r="T119" s="158">
        <v>4099999</v>
      </c>
      <c r="U119" s="155">
        <f>IF(AND(R119="",T119=""),0,IF(V102&lt;=20000000,0,IF(R119="",IF(V103&lt;=T119,1,0),IF(T119="",IF(V103&gt;=R119,1,0),IF(AND(V103&gt;=R119,V103&lt;=T119),1,0)))))</f>
        <v>0</v>
      </c>
      <c r="V119" s="159">
        <f>IF(U119=1,ROUNDDOWN(V103*0.75-75000,0),0)</f>
        <v>0</v>
      </c>
      <c r="Y119" s="7"/>
      <c r="Z119" s="7"/>
      <c r="AA119" s="7"/>
      <c r="AB119" s="7"/>
      <c r="AC119" s="7"/>
      <c r="AD119" s="7"/>
      <c r="AE119" s="7"/>
      <c r="AF119" s="7"/>
      <c r="AG119" s="7"/>
      <c r="AH119" s="7"/>
      <c r="AI119" s="7"/>
      <c r="AJ119" s="7"/>
      <c r="AK119" s="7"/>
      <c r="AL119" s="7"/>
      <c r="AM119" s="7"/>
      <c r="AN119" s="7"/>
      <c r="AO119" s="7"/>
      <c r="AP119" s="7"/>
      <c r="AQ119" s="7"/>
      <c r="AR119" s="7"/>
      <c r="AS119" s="7"/>
      <c r="AT119" s="7"/>
      <c r="AU119" s="7"/>
      <c r="AV119" s="7"/>
      <c r="AW119" s="7"/>
      <c r="AX119" s="7"/>
      <c r="AY119" s="7"/>
      <c r="AZ119" s="7"/>
    </row>
    <row r="120" spans="1:52">
      <c r="A120" s="7"/>
      <c r="B120" s="16"/>
      <c r="C120" s="166"/>
      <c r="D120" s="156"/>
      <c r="E120" s="157" t="s">
        <v>22</v>
      </c>
      <c r="F120" s="158"/>
      <c r="G120" s="155">
        <f t="shared" si="60"/>
        <v>0</v>
      </c>
      <c r="H120" s="163"/>
      <c r="I120" s="147"/>
      <c r="J120" s="216"/>
      <c r="K120" s="156">
        <v>4100000</v>
      </c>
      <c r="L120" s="157" t="s">
        <v>22</v>
      </c>
      <c r="M120" s="158">
        <v>7699999</v>
      </c>
      <c r="N120" s="155">
        <f>IF(AND(K120="",M120=""),0,IF(O102&lt;=20000000,0,IF(K120="",IF(O103&lt;=M120,1,0),IF(M120="",IF(O103&gt;=K120,1,0),IF(AND(O103&gt;=K120,O103&lt;=M120),1,0)))))</f>
        <v>0</v>
      </c>
      <c r="O120" s="159">
        <f>IF(N120=1,ROUNDDOWN(O103*0.85-485000,0),0)</f>
        <v>0</v>
      </c>
      <c r="P120" s="147"/>
      <c r="Q120" s="216"/>
      <c r="R120" s="156">
        <v>4100000</v>
      </c>
      <c r="S120" s="157" t="s">
        <v>22</v>
      </c>
      <c r="T120" s="158">
        <v>7699999</v>
      </c>
      <c r="U120" s="155">
        <f>IF(AND(R120="",T120=""),0,IF(V102&lt;=20000000,0,IF(R120="",IF(V103&lt;=T120,1,0),IF(T120="",IF(V103&gt;=R120,1,0),IF(AND(V103&gt;=R120,V103&lt;=T120),1,0)))))</f>
        <v>0</v>
      </c>
      <c r="V120" s="159">
        <f>IF(U120=1,ROUNDDOWN(V103*0.85-485000,0),0)</f>
        <v>0</v>
      </c>
      <c r="Y120" s="7"/>
      <c r="Z120" s="7"/>
      <c r="AA120" s="7"/>
      <c r="AB120" s="7"/>
      <c r="AC120" s="7"/>
      <c r="AD120" s="7"/>
      <c r="AE120" s="7"/>
      <c r="AF120" s="7"/>
      <c r="AG120" s="7"/>
      <c r="AH120" s="7"/>
      <c r="AI120" s="7"/>
      <c r="AJ120" s="7"/>
      <c r="AK120" s="7"/>
      <c r="AL120" s="7"/>
      <c r="AM120" s="7"/>
      <c r="AN120" s="7"/>
      <c r="AO120" s="7"/>
      <c r="AP120" s="7"/>
      <c r="AQ120" s="7"/>
      <c r="AR120" s="7"/>
      <c r="AS120" s="7"/>
      <c r="AT120" s="7"/>
      <c r="AU120" s="7"/>
      <c r="AV120" s="7"/>
      <c r="AW120" s="7"/>
      <c r="AX120" s="7"/>
      <c r="AY120" s="7"/>
      <c r="AZ120" s="7"/>
    </row>
    <row r="121" spans="1:52">
      <c r="A121" s="7"/>
      <c r="B121" s="16"/>
      <c r="C121" s="166"/>
      <c r="D121" s="156"/>
      <c r="E121" s="157" t="s">
        <v>22</v>
      </c>
      <c r="F121" s="158"/>
      <c r="G121" s="155">
        <f t="shared" si="60"/>
        <v>0</v>
      </c>
      <c r="H121" s="163"/>
      <c r="I121" s="147"/>
      <c r="J121" s="216"/>
      <c r="K121" s="156">
        <v>7700000</v>
      </c>
      <c r="L121" s="157" t="s">
        <v>22</v>
      </c>
      <c r="M121" s="158">
        <v>9999999</v>
      </c>
      <c r="N121" s="155">
        <f>IF(AND(K121="",M121=""),0,IF(O102&lt;=20000000,0,IF(K121="",IF(O103&lt;=M121,1,0),IF(M121="",IF(O103&gt;=K121,1,0),IF(AND(O103&gt;=K121,O103&lt;=M121),1,0)))))</f>
        <v>0</v>
      </c>
      <c r="O121" s="159">
        <f>IF(N121=1,ROUNDDOWN(O103*0.95-1255000,0),0)</f>
        <v>0</v>
      </c>
      <c r="P121" s="147"/>
      <c r="Q121" s="216"/>
      <c r="R121" s="156">
        <v>7700000</v>
      </c>
      <c r="S121" s="157" t="s">
        <v>22</v>
      </c>
      <c r="T121" s="158">
        <v>9999999</v>
      </c>
      <c r="U121" s="155">
        <f>IF(AND(R121="",T121=""),0,IF(V102&lt;=20000000,0,IF(R121="",IF(V103&lt;=T121,1,0),IF(T121="",IF(V103&gt;=R121,1,0),IF(AND(V103&gt;=R121,V103&lt;=T121),1,0)))))</f>
        <v>0</v>
      </c>
      <c r="V121" s="159">
        <f>IF(U121=1,ROUNDDOWN(V103*0.95-1255000,0),0)</f>
        <v>0</v>
      </c>
      <c r="Y121" s="7"/>
      <c r="Z121" s="7"/>
      <c r="AA121" s="7"/>
      <c r="AB121" s="7"/>
      <c r="AC121" s="7"/>
      <c r="AD121" s="7"/>
      <c r="AE121" s="7"/>
      <c r="AF121" s="7"/>
      <c r="AG121" s="7"/>
      <c r="AH121" s="7"/>
      <c r="AI121" s="7"/>
      <c r="AJ121" s="7"/>
      <c r="AK121" s="7"/>
      <c r="AL121" s="7"/>
      <c r="AM121" s="7"/>
      <c r="AN121" s="7"/>
      <c r="AO121" s="7"/>
      <c r="AP121" s="7"/>
      <c r="AQ121" s="7"/>
      <c r="AR121" s="7"/>
      <c r="AS121" s="7"/>
      <c r="AT121" s="7"/>
      <c r="AU121" s="7"/>
      <c r="AV121" s="7"/>
      <c r="AW121" s="7"/>
      <c r="AX121" s="7"/>
      <c r="AY121" s="7"/>
      <c r="AZ121" s="7"/>
    </row>
    <row r="122" spans="1:52">
      <c r="A122" s="7"/>
      <c r="B122" s="16"/>
      <c r="C122" s="166"/>
      <c r="D122" s="156"/>
      <c r="E122" s="157" t="s">
        <v>22</v>
      </c>
      <c r="F122" s="158"/>
      <c r="G122" s="155">
        <f t="shared" si="60"/>
        <v>0</v>
      </c>
      <c r="H122" s="163"/>
      <c r="I122" s="147"/>
      <c r="J122" s="216"/>
      <c r="K122" s="156">
        <v>10000000</v>
      </c>
      <c r="L122" s="157" t="s">
        <v>22</v>
      </c>
      <c r="M122" s="158"/>
      <c r="N122" s="155">
        <f>IF(AND(K122="",M122=""),0,IF(O102&lt;=20000000,0,IF(K122="",IF(O103&lt;=M122,1,0),IF(M122="",IF(O103&gt;=K122,1,0),IF(AND(O103&gt;=K122,O103&lt;=M122),1,0)))))</f>
        <v>0</v>
      </c>
      <c r="O122" s="159">
        <f>IF(N122=1,O103-1755000,0)</f>
        <v>0</v>
      </c>
      <c r="P122" s="147"/>
      <c r="Q122" s="216"/>
      <c r="R122" s="156">
        <v>10000000</v>
      </c>
      <c r="S122" s="157" t="s">
        <v>22</v>
      </c>
      <c r="T122" s="158"/>
      <c r="U122" s="155">
        <f>IF(AND(R122="",T122=""),0,IF(V102&lt;=20000000,0,IF(R122="",IF(V103&lt;=T122,1,0),IF(T122="",IF(V103&gt;=R122,1,0),IF(AND(V103&gt;=R122,V103&lt;=T122),1,0)))))</f>
        <v>0</v>
      </c>
      <c r="V122" s="159">
        <f>IF(U122=1,V103-1755000,0)</f>
        <v>0</v>
      </c>
      <c r="Y122" s="7"/>
      <c r="Z122" s="7"/>
      <c r="AA122" s="7"/>
      <c r="AB122" s="7"/>
      <c r="AC122" s="7"/>
      <c r="AD122" s="7"/>
      <c r="AE122" s="7"/>
      <c r="AF122" s="7"/>
      <c r="AG122" s="7"/>
      <c r="AH122" s="7"/>
      <c r="AI122" s="7"/>
      <c r="AJ122" s="7"/>
      <c r="AK122" s="7"/>
      <c r="AL122" s="7"/>
      <c r="AM122" s="7"/>
      <c r="AN122" s="7"/>
      <c r="AO122" s="7"/>
      <c r="AP122" s="7"/>
      <c r="AQ122" s="7"/>
      <c r="AR122" s="7"/>
      <c r="AS122" s="7"/>
      <c r="AT122" s="7"/>
      <c r="AU122" s="7"/>
      <c r="AV122" s="7"/>
      <c r="AW122" s="7"/>
      <c r="AX122" s="7"/>
      <c r="AY122" s="7"/>
      <c r="AZ122" s="7"/>
    </row>
    <row r="123" spans="1:52">
      <c r="A123" s="7"/>
      <c r="B123" s="16"/>
      <c r="C123" s="166"/>
      <c r="D123" s="156"/>
      <c r="E123" s="157" t="s">
        <v>22</v>
      </c>
      <c r="F123" s="158"/>
      <c r="G123" s="155">
        <f t="shared" si="60"/>
        <v>0</v>
      </c>
      <c r="H123" s="159"/>
      <c r="I123" s="147"/>
      <c r="J123" s="216"/>
      <c r="K123" s="156"/>
      <c r="L123" s="157" t="s">
        <v>22</v>
      </c>
      <c r="M123" s="158"/>
      <c r="N123" s="155"/>
      <c r="O123" s="159"/>
      <c r="P123" s="147"/>
      <c r="Q123" s="216"/>
      <c r="R123" s="156"/>
      <c r="S123" s="157" t="s">
        <v>22</v>
      </c>
      <c r="T123" s="158"/>
      <c r="U123" s="155"/>
      <c r="V123" s="159"/>
      <c r="Y123" s="7"/>
      <c r="Z123" s="7"/>
      <c r="AA123" s="7"/>
      <c r="AB123" s="7"/>
      <c r="AC123" s="7"/>
      <c r="AD123" s="7"/>
      <c r="AE123" s="7"/>
      <c r="AF123" s="7"/>
      <c r="AG123" s="7"/>
      <c r="AH123" s="7"/>
      <c r="AI123" s="7"/>
      <c r="AJ123" s="7"/>
      <c r="AK123" s="7"/>
      <c r="AL123" s="7"/>
      <c r="AM123" s="7"/>
      <c r="AN123" s="7"/>
      <c r="AO123" s="7"/>
      <c r="AP123" s="7"/>
      <c r="AQ123" s="7"/>
      <c r="AR123" s="7"/>
      <c r="AS123" s="7"/>
      <c r="AT123" s="7"/>
      <c r="AU123" s="7"/>
      <c r="AV123" s="7"/>
      <c r="AW123" s="7"/>
      <c r="AX123" s="7"/>
      <c r="AY123" s="7"/>
      <c r="AZ123" s="7"/>
    </row>
    <row r="124" spans="1:52">
      <c r="A124" s="7"/>
      <c r="B124" s="16"/>
      <c r="C124" s="166"/>
      <c r="D124" s="156"/>
      <c r="E124" s="157" t="s">
        <v>22</v>
      </c>
      <c r="F124" s="158"/>
      <c r="G124" s="155">
        <f t="shared" si="60"/>
        <v>0</v>
      </c>
      <c r="H124" s="159"/>
      <c r="I124" s="147"/>
      <c r="J124" s="216"/>
      <c r="K124" s="156"/>
      <c r="L124" s="157" t="s">
        <v>22</v>
      </c>
      <c r="M124" s="158"/>
      <c r="N124" s="155"/>
      <c r="O124" s="159"/>
      <c r="P124" s="147"/>
      <c r="Q124" s="216"/>
      <c r="R124" s="156"/>
      <c r="S124" s="157" t="s">
        <v>22</v>
      </c>
      <c r="T124" s="158"/>
      <c r="U124" s="155"/>
      <c r="V124" s="159"/>
      <c r="Y124" s="7"/>
      <c r="Z124" s="7"/>
      <c r="AA124" s="7"/>
      <c r="AB124" s="7"/>
      <c r="AC124" s="7"/>
      <c r="AD124" s="7"/>
      <c r="AE124" s="7"/>
      <c r="AF124" s="7"/>
      <c r="AG124" s="7"/>
      <c r="AH124" s="7"/>
      <c r="AI124" s="7"/>
      <c r="AJ124" s="7"/>
      <c r="AK124" s="7"/>
      <c r="AL124" s="7"/>
      <c r="AM124" s="7"/>
      <c r="AN124" s="7"/>
      <c r="AO124" s="7"/>
      <c r="AP124" s="7"/>
      <c r="AQ124" s="7"/>
      <c r="AR124" s="7"/>
      <c r="AS124" s="7"/>
      <c r="AT124" s="7"/>
      <c r="AU124" s="7"/>
      <c r="AV124" s="7"/>
      <c r="AW124" s="7"/>
      <c r="AX124" s="7"/>
      <c r="AY124" s="7"/>
      <c r="AZ124" s="7"/>
    </row>
    <row r="125" spans="1:52">
      <c r="A125" s="7"/>
      <c r="B125" s="16"/>
      <c r="C125" s="212" t="s">
        <v>20</v>
      </c>
      <c r="D125" s="213"/>
      <c r="E125" s="213"/>
      <c r="F125" s="213"/>
      <c r="G125" s="213"/>
      <c r="H125" s="151">
        <f>SUM(H105:H124)</f>
        <v>0</v>
      </c>
      <c r="I125" s="147"/>
      <c r="J125" s="214" t="s">
        <v>21</v>
      </c>
      <c r="K125" s="215"/>
      <c r="L125" s="215"/>
      <c r="M125" s="215"/>
      <c r="N125" s="212"/>
      <c r="O125" s="151">
        <f>SUM(O105:O124)</f>
        <v>0</v>
      </c>
      <c r="P125" s="147"/>
      <c r="Q125" s="214" t="s">
        <v>21</v>
      </c>
      <c r="R125" s="215"/>
      <c r="S125" s="215"/>
      <c r="T125" s="215"/>
      <c r="U125" s="212"/>
      <c r="V125" s="151">
        <f>SUM(V105:V124)</f>
        <v>0</v>
      </c>
      <c r="Y125" s="7"/>
      <c r="Z125" s="7"/>
      <c r="AA125" s="7"/>
      <c r="AB125" s="7"/>
      <c r="AC125" s="7"/>
      <c r="AD125" s="7"/>
      <c r="AE125" s="7"/>
      <c r="AF125" s="7"/>
      <c r="AG125" s="7"/>
      <c r="AH125" s="7"/>
      <c r="AI125" s="7"/>
      <c r="AJ125" s="7"/>
      <c r="AK125" s="7"/>
      <c r="AL125" s="7"/>
      <c r="AM125" s="7"/>
      <c r="AN125" s="7"/>
      <c r="AO125" s="7"/>
      <c r="AP125" s="7"/>
      <c r="AQ125" s="7"/>
      <c r="AR125" s="7"/>
      <c r="AS125" s="7"/>
      <c r="AT125" s="7"/>
      <c r="AU125" s="7"/>
      <c r="AV125" s="7"/>
      <c r="AW125" s="7"/>
      <c r="AX125" s="7"/>
      <c r="AY125" s="7"/>
      <c r="AZ125" s="7"/>
    </row>
    <row r="126" spans="1:52">
      <c r="C126" s="164"/>
      <c r="D126" s="165"/>
      <c r="E126" s="165"/>
      <c r="F126" s="165"/>
      <c r="G126" s="165"/>
      <c r="H126" s="165"/>
      <c r="I126" s="165"/>
      <c r="J126" s="165"/>
      <c r="K126" s="165"/>
      <c r="L126" s="165"/>
      <c r="M126" s="165"/>
      <c r="N126" s="165"/>
      <c r="O126" s="165"/>
      <c r="P126" s="165"/>
      <c r="Q126" s="165"/>
      <c r="R126" s="165"/>
      <c r="S126" s="165"/>
      <c r="T126" s="165"/>
      <c r="U126" s="165"/>
      <c r="V126" s="165"/>
      <c r="Y126" s="7"/>
      <c r="Z126" s="7"/>
      <c r="AA126" s="7"/>
      <c r="AB126" s="7"/>
      <c r="AC126" s="7"/>
      <c r="AD126" s="7"/>
      <c r="AE126" s="7"/>
      <c r="AF126" s="7"/>
      <c r="AG126" s="7"/>
      <c r="AH126" s="7"/>
      <c r="AI126" s="7"/>
      <c r="AJ126" s="7"/>
      <c r="AK126" s="7"/>
      <c r="AL126" s="7"/>
      <c r="AM126" s="7"/>
      <c r="AN126" s="7"/>
      <c r="AO126" s="7"/>
      <c r="AP126" s="7"/>
      <c r="AQ126" s="7"/>
      <c r="AR126" s="7"/>
      <c r="AS126" s="7"/>
      <c r="AT126" s="7"/>
      <c r="AU126" s="7"/>
      <c r="AV126" s="7"/>
      <c r="AW126" s="7"/>
      <c r="AX126" s="7"/>
      <c r="AY126" s="7"/>
      <c r="AZ126" s="7"/>
    </row>
    <row r="127" spans="1:52">
      <c r="A127" s="7"/>
      <c r="B127" s="7" t="s">
        <v>28</v>
      </c>
      <c r="C127" s="144"/>
      <c r="D127" s="145" t="str">
        <f>IF(C129=0,"空欄",Z133)</f>
        <v>空欄</v>
      </c>
      <c r="E127" s="146" t="s">
        <v>29</v>
      </c>
      <c r="F127" s="146"/>
      <c r="G127" s="146"/>
      <c r="H127" s="146"/>
      <c r="I127" s="147"/>
      <c r="J127" s="147"/>
      <c r="K127" s="148" t="s">
        <v>14</v>
      </c>
      <c r="L127" s="147"/>
      <c r="M127" s="149"/>
      <c r="N127" s="150" t="s">
        <v>15</v>
      </c>
      <c r="O127" s="151">
        <f>H150+C132</f>
        <v>0</v>
      </c>
      <c r="P127" s="147"/>
      <c r="Q127" s="147"/>
      <c r="R127" s="147" t="s">
        <v>16</v>
      </c>
      <c r="S127" s="147"/>
      <c r="T127" s="149"/>
      <c r="U127" s="150" t="s">
        <v>15</v>
      </c>
      <c r="V127" s="151">
        <f>H150+C131</f>
        <v>0</v>
      </c>
      <c r="Y127" s="56"/>
      <c r="Z127" s="56"/>
      <c r="AA127" s="56"/>
      <c r="AB127" s="56"/>
      <c r="AC127" s="56"/>
      <c r="AD127" s="56"/>
      <c r="AE127" s="56"/>
      <c r="AF127" s="56"/>
      <c r="AG127" s="56"/>
      <c r="AH127" s="56"/>
      <c r="AI127" s="56"/>
      <c r="AJ127" s="56"/>
      <c r="AK127" s="56"/>
      <c r="AL127" s="56"/>
      <c r="AM127" s="56"/>
      <c r="AN127" s="56"/>
      <c r="AO127" s="56"/>
      <c r="AP127" s="56"/>
      <c r="AQ127" s="56"/>
      <c r="AR127" s="56"/>
      <c r="AS127" s="56"/>
      <c r="AT127" s="56"/>
      <c r="AU127" s="56"/>
      <c r="AV127" s="56"/>
      <c r="AW127" s="56"/>
      <c r="AX127" s="56"/>
      <c r="AY127" s="56"/>
      <c r="AZ127" s="56"/>
    </row>
    <row r="128" spans="1:52" ht="13.5" customHeight="1">
      <c r="A128" s="7" t="s">
        <v>40</v>
      </c>
      <c r="B128" s="16"/>
      <c r="C128" s="152" t="s">
        <v>131</v>
      </c>
      <c r="D128" s="213" t="s">
        <v>17</v>
      </c>
      <c r="E128" s="213"/>
      <c r="F128" s="213"/>
      <c r="G128" s="213"/>
      <c r="H128" s="153">
        <f>C130</f>
        <v>0</v>
      </c>
      <c r="I128" s="147"/>
      <c r="J128" s="217" t="s">
        <v>33</v>
      </c>
      <c r="K128" s="213" t="s">
        <v>31</v>
      </c>
      <c r="L128" s="213"/>
      <c r="M128" s="213"/>
      <c r="N128" s="213"/>
      <c r="O128" s="154">
        <f>IF(D127&lt;65,C131,0)</f>
        <v>0</v>
      </c>
      <c r="P128" s="147"/>
      <c r="Q128" s="216" t="s">
        <v>34</v>
      </c>
      <c r="R128" s="213" t="s">
        <v>31</v>
      </c>
      <c r="S128" s="213"/>
      <c r="T128" s="213"/>
      <c r="U128" s="213"/>
      <c r="V128" s="154">
        <f>IF(D127&gt;=65,C131,0)</f>
        <v>0</v>
      </c>
      <c r="Y128" s="56"/>
      <c r="Z128" s="56"/>
      <c r="AA128" s="56"/>
      <c r="AB128" s="56"/>
      <c r="AC128" s="56"/>
      <c r="AD128" s="56"/>
      <c r="AE128" s="56"/>
      <c r="AF128" s="56"/>
      <c r="AG128" s="56"/>
      <c r="AH128" s="56"/>
      <c r="AI128" s="56"/>
      <c r="AJ128" s="56"/>
      <c r="AK128" s="56"/>
      <c r="AL128" s="56"/>
      <c r="AM128" s="56"/>
      <c r="AN128" s="56"/>
      <c r="AO128" s="56"/>
      <c r="AP128" s="56"/>
      <c r="AQ128" s="56"/>
      <c r="AR128" s="56"/>
      <c r="AS128" s="56"/>
      <c r="AT128" s="56"/>
      <c r="AU128" s="56"/>
      <c r="AV128" s="56"/>
      <c r="AW128" s="56"/>
      <c r="AX128" s="56"/>
      <c r="AY128" s="56"/>
      <c r="AZ128" s="56"/>
    </row>
    <row r="129" spans="1:53" ht="14.25" thickBot="1">
      <c r="A129" s="7"/>
      <c r="B129" s="2" t="s">
        <v>44</v>
      </c>
      <c r="C129" s="152">
        <f>簡易試算シート!C14</f>
        <v>0</v>
      </c>
      <c r="D129" s="215" t="s">
        <v>18</v>
      </c>
      <c r="E129" s="215"/>
      <c r="F129" s="212"/>
      <c r="G129" s="155" t="s">
        <v>19</v>
      </c>
      <c r="H129" s="155" t="s">
        <v>20</v>
      </c>
      <c r="I129" s="147"/>
      <c r="J129" s="216"/>
      <c r="K129" s="215" t="s">
        <v>18</v>
      </c>
      <c r="L129" s="215"/>
      <c r="M129" s="212"/>
      <c r="N129" s="155" t="s">
        <v>19</v>
      </c>
      <c r="O129" s="155" t="s">
        <v>20</v>
      </c>
      <c r="P129" s="147"/>
      <c r="Q129" s="216"/>
      <c r="R129" s="215"/>
      <c r="S129" s="215"/>
      <c r="T129" s="212"/>
      <c r="U129" s="155" t="s">
        <v>19</v>
      </c>
      <c r="V129" s="155" t="s">
        <v>21</v>
      </c>
      <c r="Y129" s="56"/>
      <c r="Z129" s="56"/>
      <c r="AA129" s="56"/>
      <c r="AB129" s="56"/>
      <c r="AC129" s="56"/>
      <c r="AD129" s="56"/>
      <c r="AE129" s="56"/>
      <c r="AF129" s="56"/>
      <c r="AG129" s="56"/>
      <c r="AH129" s="56"/>
      <c r="AI129" s="56"/>
      <c r="AJ129" s="56"/>
      <c r="AK129" s="56"/>
      <c r="AL129" s="56"/>
      <c r="AM129" s="56"/>
      <c r="AN129" s="56"/>
      <c r="AO129" s="56"/>
      <c r="AP129" s="56"/>
      <c r="AQ129" s="56"/>
      <c r="AR129" s="56"/>
      <c r="AS129" s="56"/>
      <c r="AT129" s="56"/>
      <c r="AU129" s="56"/>
      <c r="AV129" s="56"/>
      <c r="AW129" s="56"/>
      <c r="AX129" s="56"/>
      <c r="AY129" s="56"/>
      <c r="AZ129" s="56"/>
    </row>
    <row r="130" spans="1:53">
      <c r="A130" s="7"/>
      <c r="B130" s="2" t="s">
        <v>45</v>
      </c>
      <c r="C130" s="152">
        <f>簡易試算シート!D14</f>
        <v>0</v>
      </c>
      <c r="D130" s="11"/>
      <c r="E130" s="12" t="s">
        <v>22</v>
      </c>
      <c r="F130" s="13">
        <v>650999</v>
      </c>
      <c r="G130" s="155">
        <f>IF(AND(D130="",F130=""),0,IF(D130="",IF($H$128&lt;=F130,1,0),IF(F130="",IF($H$128&gt;=D130,1,0),IF(AND($H$128&gt;=D130,$H$128&lt;=F130),1,0))))</f>
        <v>1</v>
      </c>
      <c r="H130" s="159">
        <f>IF(G130=1,0,0)</f>
        <v>0</v>
      </c>
      <c r="I130" s="147"/>
      <c r="J130" s="216"/>
      <c r="K130" s="160"/>
      <c r="L130" s="157" t="s">
        <v>23</v>
      </c>
      <c r="M130" s="161"/>
      <c r="N130" s="155"/>
      <c r="O130" s="159"/>
      <c r="P130" s="147"/>
      <c r="Q130" s="216"/>
      <c r="R130" s="156"/>
      <c r="S130" s="157" t="s">
        <v>23</v>
      </c>
      <c r="T130" s="158"/>
      <c r="U130" s="155"/>
      <c r="V130" s="159"/>
      <c r="Y130" s="45"/>
      <c r="Z130" s="46" t="s">
        <v>49</v>
      </c>
      <c r="AA130" s="46" t="s">
        <v>50</v>
      </c>
      <c r="AB130" s="47" t="s">
        <v>51</v>
      </c>
      <c r="AC130" s="47" t="s">
        <v>52</v>
      </c>
      <c r="AD130" s="47" t="s">
        <v>53</v>
      </c>
      <c r="AE130" s="47" t="s">
        <v>54</v>
      </c>
      <c r="AF130" s="47" t="s">
        <v>55</v>
      </c>
      <c r="AG130" s="47" t="s">
        <v>56</v>
      </c>
      <c r="AH130" s="47" t="s">
        <v>57</v>
      </c>
      <c r="AI130" s="47" t="s">
        <v>58</v>
      </c>
      <c r="AJ130" s="47" t="s">
        <v>59</v>
      </c>
      <c r="AK130" s="47" t="s">
        <v>60</v>
      </c>
      <c r="AL130" s="47" t="s">
        <v>61</v>
      </c>
      <c r="AM130" s="47" t="s">
        <v>62</v>
      </c>
      <c r="AN130" s="47" t="s">
        <v>63</v>
      </c>
      <c r="AO130" s="47" t="s">
        <v>64</v>
      </c>
      <c r="AP130" s="222" t="s">
        <v>65</v>
      </c>
      <c r="AQ130" s="222"/>
      <c r="AR130" s="47"/>
      <c r="AS130" s="48" t="s">
        <v>66</v>
      </c>
      <c r="AT130" s="48" t="s">
        <v>67</v>
      </c>
      <c r="AU130" s="47"/>
      <c r="AV130" s="47"/>
      <c r="AW130" s="47"/>
      <c r="AX130" s="49" t="s">
        <v>68</v>
      </c>
      <c r="AY130" s="49" t="s">
        <v>69</v>
      </c>
      <c r="AZ130" s="49" t="s">
        <v>70</v>
      </c>
      <c r="BA130" s="176" t="s">
        <v>202</v>
      </c>
    </row>
    <row r="131" spans="1:53">
      <c r="A131" s="7"/>
      <c r="B131" s="2" t="s">
        <v>46</v>
      </c>
      <c r="C131" s="152">
        <f>簡易試算シート!E14</f>
        <v>0</v>
      </c>
      <c r="D131" s="11">
        <v>651000</v>
      </c>
      <c r="E131" s="12" t="s">
        <v>22</v>
      </c>
      <c r="F131" s="13">
        <v>1899999</v>
      </c>
      <c r="G131" s="155">
        <f>IF(AND(D131="",F131=""),0,IF(D131="",IF($H$128&lt;=F131,1,0),IF(F131="",IF($H$128&gt;=D131,1,0),IF(AND($H$128&gt;=D131,$H$128&lt;=F131),1,0))))</f>
        <v>0</v>
      </c>
      <c r="H131" s="167">
        <f>IF(G131=1,H128-650000,0)</f>
        <v>0</v>
      </c>
      <c r="I131" s="147"/>
      <c r="J131" s="216"/>
      <c r="K131" s="156"/>
      <c r="L131" s="157" t="s">
        <v>22</v>
      </c>
      <c r="M131" s="158">
        <v>1299999</v>
      </c>
      <c r="N131" s="155">
        <f>IF(AND(K131="",M131=""),0,IF(O127&gt;10000000,0,IF(K131="",IF(O128&lt;=M131,1,0),IF(M131="",IF(O128&gt;=K131,1,0),IF(AND(O128&gt;=K131,O128&lt;=M131),1,0)))))</f>
        <v>1</v>
      </c>
      <c r="O131" s="159">
        <f>IF(N131=1,IF(O128-600000&gt;0,O128-600000,0),0)</f>
        <v>0</v>
      </c>
      <c r="P131" s="147"/>
      <c r="Q131" s="216"/>
      <c r="R131" s="156"/>
      <c r="S131" s="157" t="s">
        <v>22</v>
      </c>
      <c r="T131" s="158">
        <v>3299999</v>
      </c>
      <c r="U131" s="155">
        <f>IF(AND(R131="",T131=""),0,IF(V127&gt;10000000,0,IF(R131="",IF(V128&lt;=T131,1,0),IF(T131="",IF(V128&gt;=R131,1,0),IF(AND(V128&gt;=R131,V128&lt;=T131),1,0)))))</f>
        <v>1</v>
      </c>
      <c r="V131" s="159">
        <f>IF(U131=1,IF(V128-1100000&gt;0,V128-1100000,0),0)</f>
        <v>0</v>
      </c>
      <c r="X131" t="s">
        <v>129</v>
      </c>
      <c r="Y131" s="50" t="s">
        <v>71</v>
      </c>
      <c r="Z131" s="51">
        <f>DATE(YEAR(C129)+40,MONTH(C129),DAY(C129))</f>
        <v>14610</v>
      </c>
      <c r="AA131" s="52">
        <f>DATE(YEAR(C129)+65,MONTH(C129),DAY(C129)-1)</f>
        <v>23741</v>
      </c>
      <c r="AB131" s="65">
        <f>IF(AND($Z131&lt;=AO$4,AO$3&lt;$AA131,AB132=1),1,IF(AND($Z131&lt;=AO$4,AO$3&lt;$AA131,AB132=2),2,0))</f>
        <v>0</v>
      </c>
      <c r="AC131" s="65">
        <f t="shared" ref="AC131" si="79">IF(AND($Z131&lt;=AP$4,AP$3&lt;$AA131,AC132=1),1,IF(AND($Z131&lt;=AP$4,AP$3&lt;$AA131,AC132=2),2,0))</f>
        <v>0</v>
      </c>
      <c r="AD131" s="65">
        <f t="shared" ref="AD131" si="80">IF(AND($Z131&lt;=AQ$4,AQ$3&lt;$AA131,AD132=1),1,IF(AND($Z131&lt;=AQ$4,AQ$3&lt;$AA131,AD132=2),2,0))</f>
        <v>0</v>
      </c>
      <c r="AE131" s="65">
        <f t="shared" ref="AE131" si="81">IF(AND($Z131&lt;=AR$4,AR$3&lt;$AA131,AE132=1),1,IF(AND($Z131&lt;=AR$4,AR$3&lt;$AA131,AE132=2),2,0))</f>
        <v>0</v>
      </c>
      <c r="AF131" s="65">
        <f t="shared" ref="AF131" si="82">IF(AND($Z131&lt;=AS$4,AS$3&lt;$AA131,AF132=1),1,IF(AND($Z131&lt;=AS$4,AS$3&lt;$AA131,AF132=2),2,0))</f>
        <v>0</v>
      </c>
      <c r="AG131" s="65">
        <f t="shared" ref="AG131" si="83">IF(AND($Z131&lt;=AT$4,AT$3&lt;$AA131,AG132=1),1,IF(AND($Z131&lt;=AT$4,AT$3&lt;$AA131,AG132=2),2,0))</f>
        <v>0</v>
      </c>
      <c r="AH131" s="65">
        <f t="shared" ref="AH131" si="84">IF(AND($Z131&lt;=AU$4,AU$3&lt;$AA131,AH132=1),1,IF(AND($Z131&lt;=AU$4,AU$3&lt;$AA131,AH132=2),2,0))</f>
        <v>0</v>
      </c>
      <c r="AI131" s="65">
        <f t="shared" ref="AI131" si="85">IF(AND($Z131&lt;=AV$4,AV$3&lt;$AA131,AI132=1),1,IF(AND($Z131&lt;=AV$4,AV$3&lt;$AA131,AI132=2),2,0))</f>
        <v>0</v>
      </c>
      <c r="AJ131" s="65">
        <f t="shared" ref="AJ131" si="86">IF(AND($Z131&lt;=AW$4,AW$3&lt;$AA131,AJ132=1),1,IF(AND($Z131&lt;=AW$4,AW$3&lt;$AA131,AJ132=2),2,0))</f>
        <v>0</v>
      </c>
      <c r="AK131" s="65">
        <f>IF(AND($Z131&lt;=AX$4,AX$3&lt;$AA131,AK132=1),1,IF(AND($Z131&lt;=AX$4,AX$3&lt;$AA131,AK132=2),2,0))</f>
        <v>0</v>
      </c>
      <c r="AL131" s="65">
        <f t="shared" ref="AL131" si="87">IF(AND($Z131&lt;=AY$4,AY$3&lt;$AA131,AL132=1),1,IF(AND($Z131&lt;=AY$4,AY$3&lt;$AA131,AL132=2),2,0))</f>
        <v>0</v>
      </c>
      <c r="AM131" s="65">
        <f t="shared" ref="AM131" si="88">IF(AND($Z131&lt;=AZ$4,AZ$3&lt;$AA131,AM132=1),1,IF(AND($Z131&lt;=AZ$4,AZ$3&lt;$AA131,AM132=2),2,0))</f>
        <v>0</v>
      </c>
      <c r="AN131" s="54">
        <f>COUNTIF(AB131:AM131,1)</f>
        <v>0</v>
      </c>
      <c r="AO131" s="55">
        <f>IF(AN131&gt;0,1,0)</f>
        <v>0</v>
      </c>
      <c r="AP131" s="20" t="s">
        <v>72</v>
      </c>
      <c r="AQ131" s="71"/>
      <c r="AR131" s="20" t="s">
        <v>73</v>
      </c>
      <c r="AS131" s="37">
        <f>H150</f>
        <v>0</v>
      </c>
      <c r="AT131" s="43">
        <f>MAX(IF(AND(Z134=1,Z135=0),AR135+AP134+AS133+IF(AS134&gt;150000,AS134-150000,0),IF(AND(Z134=1,Z135=1),AS135+AP134+AS133+IF(AS134&gt;150000,AS134-150000,0),0)),0)</f>
        <v>0</v>
      </c>
      <c r="AU131" s="56"/>
      <c r="AV131" s="56"/>
      <c r="AW131" s="57" t="s">
        <v>74</v>
      </c>
      <c r="AX131" s="75">
        <f>(AN132-AN134)/12*AU134*$AG$2</f>
        <v>0</v>
      </c>
      <c r="AY131" s="75">
        <f>(AN132-AN134)/12*AU134*$AH$2</f>
        <v>0</v>
      </c>
      <c r="AZ131" s="75">
        <f>IF(AO131=0,0,(AN131-AN133)/12*AU134*$AI$2)</f>
        <v>0</v>
      </c>
      <c r="BA131" s="181">
        <f>(AN132-AN134)/12*AU134*$AE$2</f>
        <v>0</v>
      </c>
    </row>
    <row r="132" spans="1:53">
      <c r="A132" s="7"/>
      <c r="B132" s="2" t="s">
        <v>47</v>
      </c>
      <c r="C132" s="152">
        <f>簡易試算シート!F14</f>
        <v>0</v>
      </c>
      <c r="D132" s="168"/>
      <c r="E132" s="169"/>
      <c r="F132" s="170"/>
      <c r="G132" s="171"/>
      <c r="H132" s="172"/>
      <c r="I132" s="147"/>
      <c r="J132" s="216"/>
      <c r="K132" s="156">
        <v>1300000</v>
      </c>
      <c r="L132" s="157" t="s">
        <v>22</v>
      </c>
      <c r="M132" s="158">
        <v>4099999</v>
      </c>
      <c r="N132" s="155">
        <f>IF(AND(K132="",M132=""),0,IF(O127&gt;10000000,0,IF(K132="",IF(O128&lt;=M132,1,0),IF(M132="",IF(O128&gt;=K132,1,0),IF(AND(O128&gt;=K132,O128&lt;=M132),1,0)))))</f>
        <v>0</v>
      </c>
      <c r="O132" s="159">
        <f>IF(N132=1,ROUNDDOWN(O128*0.75-275000,0),0)</f>
        <v>0</v>
      </c>
      <c r="P132" s="147"/>
      <c r="Q132" s="216"/>
      <c r="R132" s="156">
        <v>3300000</v>
      </c>
      <c r="S132" s="157" t="s">
        <v>22</v>
      </c>
      <c r="T132" s="158">
        <v>4099999</v>
      </c>
      <c r="U132" s="155">
        <f>IF(AND(R132="",T132=""),0,IF(V127&gt;10000000,0,IF(R132="",IF(V128&lt;=T132,1,0),IF(T132="",IF(V128&gt;=R132,1,0),IF(AND(V128&gt;=R132,V128&lt;=T132),1,0)))))</f>
        <v>0</v>
      </c>
      <c r="V132" s="159">
        <f>IF(U132=1,ROUNDDOWN(V128*0.75-275000,0),0)</f>
        <v>0</v>
      </c>
      <c r="Y132" s="50" t="s">
        <v>75</v>
      </c>
      <c r="Z132" s="56"/>
      <c r="AA132" s="56"/>
      <c r="AB132" s="53">
        <f>IF(C129=0,0,IF(C128="有",1,IF(C128="無",2,"有無要選択")))</f>
        <v>0</v>
      </c>
      <c r="AC132" s="53">
        <f>AB132</f>
        <v>0</v>
      </c>
      <c r="AD132" s="53">
        <f>AC132</f>
        <v>0</v>
      </c>
      <c r="AE132" s="53">
        <f t="shared" ref="AE132" si="89">AD132</f>
        <v>0</v>
      </c>
      <c r="AF132" s="53">
        <f t="shared" ref="AF132" si="90">AE132</f>
        <v>0</v>
      </c>
      <c r="AG132" s="53">
        <f t="shared" ref="AG132" si="91">AF132</f>
        <v>0</v>
      </c>
      <c r="AH132" s="53">
        <f t="shared" ref="AH132" si="92">AG132</f>
        <v>0</v>
      </c>
      <c r="AI132" s="53">
        <f t="shared" ref="AI132" si="93">AH132</f>
        <v>0</v>
      </c>
      <c r="AJ132" s="53">
        <f t="shared" ref="AJ132" si="94">AI132</f>
        <v>0</v>
      </c>
      <c r="AK132" s="53">
        <f t="shared" ref="AK132" si="95">AJ132</f>
        <v>0</v>
      </c>
      <c r="AL132" s="53">
        <f t="shared" ref="AL132" si="96">AK132</f>
        <v>0</v>
      </c>
      <c r="AM132" s="53">
        <f>AL132</f>
        <v>0</v>
      </c>
      <c r="AN132" s="54">
        <f>COUNTIF(AB132:AM132,1)</f>
        <v>0</v>
      </c>
      <c r="AO132" s="56"/>
      <c r="AP132" s="22" t="s">
        <v>76</v>
      </c>
      <c r="AQ132" s="72"/>
      <c r="AR132" s="36" t="s">
        <v>77</v>
      </c>
      <c r="AS132" s="35">
        <v>0</v>
      </c>
      <c r="AT132" s="24" t="s">
        <v>78</v>
      </c>
      <c r="AU132" s="42">
        <f>AP134+AP135+AS133+AS134</f>
        <v>0</v>
      </c>
      <c r="AV132" s="56"/>
      <c r="AW132" s="59" t="s">
        <v>79</v>
      </c>
      <c r="AX132" s="70"/>
      <c r="AY132" s="70"/>
      <c r="AZ132" s="70"/>
      <c r="BA132" s="182"/>
    </row>
    <row r="133" spans="1:53">
      <c r="A133" s="7"/>
      <c r="B133" s="16"/>
      <c r="C133" s="166"/>
      <c r="D133" s="168"/>
      <c r="E133" s="169"/>
      <c r="F133" s="170"/>
      <c r="G133" s="171"/>
      <c r="H133" s="172"/>
      <c r="I133" s="147"/>
      <c r="J133" s="216"/>
      <c r="K133" s="156">
        <v>4100000</v>
      </c>
      <c r="L133" s="157" t="s">
        <v>22</v>
      </c>
      <c r="M133" s="158">
        <v>7699999</v>
      </c>
      <c r="N133" s="155">
        <f>IF(AND(K133="",M133=""),0,IF(O127&gt;10000000,0,IF(K133="",IF(O128&lt;=M133,1,0),IF(M133="",IF(O128&gt;=K133,1,0),IF(AND(O128&gt;=K133,O128&lt;=M133),1,0)))))</f>
        <v>0</v>
      </c>
      <c r="O133" s="159">
        <f>IF(N133=1,ROUNDDOWN(O128*0.85-685000,0),0)</f>
        <v>0</v>
      </c>
      <c r="P133" s="147"/>
      <c r="Q133" s="216"/>
      <c r="R133" s="156">
        <v>4100000</v>
      </c>
      <c r="S133" s="157" t="s">
        <v>22</v>
      </c>
      <c r="T133" s="158">
        <v>7699999</v>
      </c>
      <c r="U133" s="155">
        <f>IF(AND(R133="",T133=""),0,IF(V127&gt;10000000,0,IF(R133="",IF(V128&lt;=T133,1,0),IF(T133="",IF(V128&gt;=R133,1,0),IF(AND(V128&gt;=R133,V128&lt;=T133),1,0)))))</f>
        <v>0</v>
      </c>
      <c r="V133" s="159">
        <f>IF(U133=1,ROUNDDOWN(V128*0.85-685000,0),0)</f>
        <v>0</v>
      </c>
      <c r="Y133" s="58" t="s">
        <v>80</v>
      </c>
      <c r="Z133" s="55">
        <f>IF(C129=0,0,IF($AB$1&lt;C129,0,DATEDIF(MIN(C129,DATE(YEAR($AB$1),1,1)),DATE(YEAR($AB$1),1,1),"y")))</f>
        <v>0</v>
      </c>
      <c r="AA133" s="59" t="s">
        <v>81</v>
      </c>
      <c r="AB133" s="60">
        <v>0</v>
      </c>
      <c r="AC133" s="60">
        <v>0</v>
      </c>
      <c r="AD133" s="60">
        <v>0</v>
      </c>
      <c r="AE133" s="60">
        <v>0</v>
      </c>
      <c r="AF133" s="60">
        <v>0</v>
      </c>
      <c r="AG133" s="60">
        <v>0</v>
      </c>
      <c r="AH133" s="60">
        <v>0</v>
      </c>
      <c r="AI133" s="60">
        <v>0</v>
      </c>
      <c r="AJ133" s="60">
        <v>0</v>
      </c>
      <c r="AK133" s="60">
        <v>0</v>
      </c>
      <c r="AL133" s="60">
        <v>0</v>
      </c>
      <c r="AM133" s="60">
        <v>0</v>
      </c>
      <c r="AN133" s="60">
        <v>0</v>
      </c>
      <c r="AO133" s="32" t="s">
        <v>82</v>
      </c>
      <c r="AP133" s="33"/>
      <c r="AQ133" s="221" t="s">
        <v>83</v>
      </c>
      <c r="AR133" s="221"/>
      <c r="AS133" s="38">
        <f>O150</f>
        <v>0</v>
      </c>
      <c r="AT133" s="32" t="s">
        <v>84</v>
      </c>
      <c r="AU133" s="33">
        <f>AS132+AP134+AS133+AS134</f>
        <v>0</v>
      </c>
      <c r="AV133" s="56"/>
      <c r="AW133" s="57" t="s">
        <v>85</v>
      </c>
      <c r="AX133" s="76">
        <f>IF(C128="無",0,IF(AN132=0,0,IF(AD135="0",$AG$3*AN132/12,IF($AV$201=0,$AG$3*AN132/12*5/10,$AG$3*AN132/12))))</f>
        <v>0</v>
      </c>
      <c r="AY133" s="76">
        <f>IF(C128="無",0,IF(AN132=0,0,IF(AD135="0",$AH$3*AN132/12,IF($AV$201=0,$AH$3*AN132/12*5/10,$AH$3*AN132/12))))</f>
        <v>0</v>
      </c>
      <c r="AZ133" s="175">
        <f>IF(C128="無",0,IF(AN131&gt;0,$AI$3*AN131/12,0))</f>
        <v>0</v>
      </c>
      <c r="BA133" s="181">
        <f>IF(AF135="1",0,IF(C128="無",0,IF(AN132=0,0,IF(AD135="0",$AE$3*AN132/12,IF($AV$201=0,$AE$3*AN132/12*5/10,$AE$3*AN132/12)))))</f>
        <v>0</v>
      </c>
    </row>
    <row r="134" spans="1:53" ht="33.75">
      <c r="A134" s="7"/>
      <c r="B134" s="16"/>
      <c r="C134" s="166"/>
      <c r="D134" s="168"/>
      <c r="E134" s="169"/>
      <c r="F134" s="170"/>
      <c r="G134" s="171"/>
      <c r="H134" s="172"/>
      <c r="I134" s="147"/>
      <c r="J134" s="216"/>
      <c r="K134" s="156">
        <v>7700000</v>
      </c>
      <c r="L134" s="157" t="s">
        <v>22</v>
      </c>
      <c r="M134" s="158">
        <v>9999999</v>
      </c>
      <c r="N134" s="155">
        <f>IF(AND(K134="",M134=""),0,IF(O127&gt;10000000,0,IF(K134="",IF(O128&lt;=M134,1,0),IF(M134="",IF(O128&gt;=K134,1,0),IF(AND(O128&gt;=K134,O128&lt;=M134),1,0)))))</f>
        <v>0</v>
      </c>
      <c r="O134" s="159">
        <f>IF(N134=1,ROUNDDOWN(O128*0.95-1455000,0),0)</f>
        <v>0</v>
      </c>
      <c r="P134" s="147"/>
      <c r="Q134" s="216"/>
      <c r="R134" s="156">
        <v>7700000</v>
      </c>
      <c r="S134" s="157" t="s">
        <v>22</v>
      </c>
      <c r="T134" s="158">
        <v>9999999</v>
      </c>
      <c r="U134" s="155">
        <f>IF(AND(R134="",T134=""),0,IF(V127&gt;10000000,0,IF(R134="",IF(V128&lt;=T134,1,0),IF(T134="",IF(V128&gt;=R134,1,0),IF(AND(V128&gt;=R134,V128&lt;=T134),1,0)))))</f>
        <v>0</v>
      </c>
      <c r="V134" s="159">
        <f>IF(U134=1,ROUNDDOWN(V128*0.95-1455000,0),0)</f>
        <v>0</v>
      </c>
      <c r="Y134" s="58" t="s">
        <v>86</v>
      </c>
      <c r="Z134" s="55">
        <f>IF(C129=0,0,1)</f>
        <v>0</v>
      </c>
      <c r="AA134" s="61" t="s">
        <v>87</v>
      </c>
      <c r="AB134" s="60">
        <v>0</v>
      </c>
      <c r="AC134" s="60">
        <v>0</v>
      </c>
      <c r="AD134" s="60">
        <v>0</v>
      </c>
      <c r="AE134" s="60">
        <v>0</v>
      </c>
      <c r="AF134" s="60">
        <v>0</v>
      </c>
      <c r="AG134" s="60">
        <v>0</v>
      </c>
      <c r="AH134" s="60">
        <v>0</v>
      </c>
      <c r="AI134" s="60">
        <v>0</v>
      </c>
      <c r="AJ134" s="60">
        <v>0</v>
      </c>
      <c r="AK134" s="60">
        <v>0</v>
      </c>
      <c r="AL134" s="60">
        <v>0</v>
      </c>
      <c r="AM134" s="60">
        <v>0</v>
      </c>
      <c r="AN134" s="60">
        <f>COUNTIF(AB134:AM134,1)</f>
        <v>0</v>
      </c>
      <c r="AO134" s="24" t="s">
        <v>88</v>
      </c>
      <c r="AP134" s="34">
        <f>C132</f>
        <v>0</v>
      </c>
      <c r="AQ134" s="221" t="s">
        <v>89</v>
      </c>
      <c r="AR134" s="221"/>
      <c r="AS134" s="39">
        <f>V150</f>
        <v>0</v>
      </c>
      <c r="AT134" s="24" t="s">
        <v>90</v>
      </c>
      <c r="AU134" s="41">
        <f>IF(C128="無",0,IF(AU132&lt;430000,0,AU132-430000))</f>
        <v>0</v>
      </c>
      <c r="AV134" s="56"/>
      <c r="AW134" s="79" t="s">
        <v>91</v>
      </c>
      <c r="AX134" s="78">
        <f>IF(C128="無",0,IF(AN132=0,0,IF(AD135="0",$AG$3*AN132/12,IF($AV$201=0,$AG$3*AN132/12*5/10,IF($AV$201=7,$AG$3*AN132/12*0.85,IF($AV$201=5,$AG$3*AN132/12*0.75,IF($AV$201=2,$AG$3*AN132/12*0.6,$AG$3*AN132/12)))))))</f>
        <v>0</v>
      </c>
      <c r="AY134" s="78">
        <f>IF(C128="無",0,IF(AN132=0,0,IF(AD135="0",$AH$3*AN132/12,IF($AV$201=0,$AH$3*AN132/12*5/10,IF($AV$201=7,$AH$3*AN132/12*0.85,IF($AV$201=5,$AH$3*AN132/12*0.75,IF($AV$201=2,$AH$3*AN132/12*0.6,$AH$3*AN132/12)))))))</f>
        <v>0</v>
      </c>
      <c r="AZ134" s="56" t="s">
        <v>203</v>
      </c>
      <c r="BA134" s="62" t="s">
        <v>203</v>
      </c>
    </row>
    <row r="135" spans="1:53" ht="33.75">
      <c r="A135" s="7"/>
      <c r="B135" s="16"/>
      <c r="C135" s="166"/>
      <c r="D135" s="168"/>
      <c r="E135" s="169"/>
      <c r="F135" s="170"/>
      <c r="G135" s="171"/>
      <c r="H135" s="172"/>
      <c r="I135" s="147"/>
      <c r="J135" s="216"/>
      <c r="K135" s="156">
        <v>10000000</v>
      </c>
      <c r="L135" s="157" t="s">
        <v>22</v>
      </c>
      <c r="M135" s="158"/>
      <c r="N135" s="155">
        <f>IF(AND(K135="",M135=""),0,IF(O127&gt;10000000,0,IF(K135="",IF(O128&lt;=M135,1,0),IF(M135="",IF(O128&gt;=K135,1,0),IF(AND(O128&gt;=K135,O128&lt;=M135),1,0)))))</f>
        <v>0</v>
      </c>
      <c r="O135" s="159">
        <f>IF(N135=1,O128-1955000,0)</f>
        <v>0</v>
      </c>
      <c r="P135" s="147"/>
      <c r="Q135" s="216"/>
      <c r="R135" s="156">
        <v>10000000</v>
      </c>
      <c r="S135" s="157" t="s">
        <v>22</v>
      </c>
      <c r="T135" s="158"/>
      <c r="U135" s="155">
        <f>IF(AND(R135="",T135=""),0,IF(V127&gt;10000000,0,IF(R135="",IF(V128&lt;=T135,1,0),IF(T135="",IF(V128&gt;=R135,1,0),IF(AND(V128&gt;=R135,V128&lt;=T135),1,0)))))</f>
        <v>0</v>
      </c>
      <c r="V135" s="159">
        <f>IF(U135=1,V128-1955000,0)</f>
        <v>0</v>
      </c>
      <c r="Y135" s="63" t="s">
        <v>92</v>
      </c>
      <c r="Z135" s="60">
        <v>0</v>
      </c>
      <c r="AA135" s="64" t="s">
        <v>93</v>
      </c>
      <c r="AB135" s="130">
        <f>IF(Z134=0,0,IF(H128&gt;550000,1,IF(O128&gt;600000,1,IF(V128&gt;1250000,1,0))))</f>
        <v>0</v>
      </c>
      <c r="AC135" s="77" t="s">
        <v>94</v>
      </c>
      <c r="AD135" s="66" t="str">
        <f>IF(C129&gt;=EDATE($AB$1,-72)+1,"1","0")</f>
        <v>0</v>
      </c>
      <c r="AE135" s="173" t="s">
        <v>201</v>
      </c>
      <c r="AF135" s="174" t="str">
        <f>IF(C129&gt;=EDATE($AB$1,-216)+1,"1","0")</f>
        <v>0</v>
      </c>
      <c r="AG135" s="56"/>
      <c r="AH135" s="56"/>
      <c r="AI135" s="56"/>
      <c r="AJ135" s="56"/>
      <c r="AK135" s="56"/>
      <c r="AL135" s="56"/>
      <c r="AM135" s="56"/>
      <c r="AN135" s="56"/>
      <c r="AO135" s="26" t="s">
        <v>95</v>
      </c>
      <c r="AP135" s="43">
        <f>IF(AND(AS131+AP133&gt;0,AS133+AS134&gt;0),IF(AS131+AP133+AS133+AS134&lt;=100000,AS131+AP133,AS131+AP133-(MIN(AS131+AP133,100000)+MIN(AS133+AS134,100000)-100000)),AS131+AP133)</f>
        <v>0</v>
      </c>
      <c r="AQ135" s="27" t="s">
        <v>96</v>
      </c>
      <c r="AR135" s="43">
        <f>IF(AND(AS131+AP133&gt;0,AS133+AS134-MIN(AS134,150000)&gt;0),IF(AS131+AP133+AS133+AS134-MIN(AS134,150000)&lt;=100000,AS131+AP133,AS131+AP133-(MIN(AS131+AP133,100000)+MIN(AS133+AS134-MIN(AS134,150000),100000)-100000)),AS131+AP133)</f>
        <v>0</v>
      </c>
      <c r="AS135" s="67">
        <f>IF(AND(AS131*30/100&gt;0,AS133+AS134-MIN(AS134,150000)&gt;0),IF(AS131*30/100+AS133+AS134-MIN(AS134,150000)&lt;=100000,AS131*30/100,AS131*30/100-(MIN(AS131*30/100,100000)+MIN(AS133+AS134-MIN(AS134,150000),100000)-100000)),AS131*30/100)</f>
        <v>0</v>
      </c>
      <c r="AT135" s="32" t="s">
        <v>97</v>
      </c>
      <c r="AU135" s="40">
        <f>IF(M135=99,0,IF(AU133&lt;430000,0,AU133-430000))</f>
        <v>0</v>
      </c>
      <c r="AV135" s="56"/>
      <c r="AW135" s="118" t="s">
        <v>163</v>
      </c>
      <c r="AX135" s="56">
        <f>IF($AV$201=0,AX133,IF(OR(C128="無",AN132=0),0,$AG$3*AN132/12*0.1*(10-$AV$201)*IF(AD135="1",0.5,1)))</f>
        <v>0</v>
      </c>
      <c r="AY135" s="56">
        <f>IF($AV$201=0,AY133,IF(OR(C128="無",AN132=0),0,$AH$3*AN132/12*0.1*(10-$AV$201)*IF(AD135="1",0.5,1)))</f>
        <v>0</v>
      </c>
      <c r="AZ135" s="180">
        <f>IF($AV$201=0,AZ133,IF(OR(C128="無",AN131=0),0,$AI$3*AN131/12*0.1*(10-$AV$201)))</f>
        <v>0</v>
      </c>
      <c r="BA135" s="181">
        <f>IF($AV$201=0,BA133,IF(OR(C128="無",AN132=0),0,$AE$3*AN132/12*0.1*(10-$AV$201)))</f>
        <v>0</v>
      </c>
    </row>
    <row r="136" spans="1:53" ht="14.25" thickBot="1">
      <c r="A136" s="7"/>
      <c r="B136" s="16"/>
      <c r="C136" s="166"/>
      <c r="D136" s="168"/>
      <c r="E136" s="169"/>
      <c r="F136" s="170"/>
      <c r="G136" s="171"/>
      <c r="H136" s="172"/>
      <c r="I136" s="147"/>
      <c r="J136" s="216"/>
      <c r="K136" s="156"/>
      <c r="L136" s="162" t="s">
        <v>25</v>
      </c>
      <c r="M136" s="158"/>
      <c r="N136" s="155"/>
      <c r="O136" s="159"/>
      <c r="P136" s="147"/>
      <c r="Q136" s="216"/>
      <c r="R136" s="156"/>
      <c r="S136" s="162" t="s">
        <v>25</v>
      </c>
      <c r="T136" s="158"/>
      <c r="U136" s="155"/>
      <c r="V136" s="159"/>
      <c r="Y136" s="68"/>
      <c r="Z136" s="69"/>
      <c r="AA136" s="69"/>
      <c r="AB136" s="69"/>
      <c r="AC136" s="69"/>
      <c r="AD136" s="69"/>
      <c r="AE136" s="69"/>
      <c r="AF136" s="69"/>
      <c r="AG136" s="69"/>
      <c r="AH136" s="69"/>
      <c r="AI136" s="69"/>
      <c r="AJ136" s="69"/>
      <c r="AK136" s="69"/>
      <c r="AL136" s="69"/>
      <c r="AM136" s="69"/>
      <c r="AN136" s="69"/>
      <c r="AO136" s="69"/>
      <c r="AP136" s="69"/>
      <c r="AQ136" s="69"/>
      <c r="AR136" s="69"/>
      <c r="AS136" s="69"/>
      <c r="AT136" s="69"/>
      <c r="AU136" s="69"/>
      <c r="AV136" s="69"/>
      <c r="AW136" s="69"/>
      <c r="AX136" s="69"/>
      <c r="AY136" s="69"/>
      <c r="AZ136" s="69"/>
      <c r="BA136" s="178"/>
    </row>
    <row r="137" spans="1:53">
      <c r="A137" s="7"/>
      <c r="B137" s="16"/>
      <c r="C137" s="166"/>
      <c r="D137" s="11">
        <v>1900000</v>
      </c>
      <c r="E137" s="157" t="s">
        <v>22</v>
      </c>
      <c r="F137" s="158">
        <v>3599999</v>
      </c>
      <c r="G137" s="155">
        <f>IF(AND(D137="",F137=""),0,IF(D137="",IF($H$128&lt;=F137,1,0),IF(F137="",IF($H$128&gt;=D137,1,0),IF(AND($H$128&gt;=D137,$H$128&lt;=F137),1,0))))</f>
        <v>0</v>
      </c>
      <c r="H137" s="163">
        <f>IF(G137=1,ROUNDDOWN(ROUNDDOWN(H128/4,-3)*2.8,0)-80000,0)</f>
        <v>0</v>
      </c>
      <c r="I137" s="147"/>
      <c r="J137" s="216"/>
      <c r="K137" s="156"/>
      <c r="L137" s="157" t="s">
        <v>22</v>
      </c>
      <c r="M137" s="158">
        <v>1299999</v>
      </c>
      <c r="N137" s="155">
        <f>IF(AND(K137="",M137=""),0,IF(O127&lt;=10000000,0,IF(O127&gt;20000000,0,IF(K137="",IF(O128&lt;=M137,1,0),IF(M137="",IF(O128&gt;=K137,1,0),IF(AND(O128&gt;=K137,O128&lt;=M137),1,0))))))</f>
        <v>0</v>
      </c>
      <c r="O137" s="159">
        <f>IF(N137=1,IF(O128-500000&gt;0,O128-500000,0),0)</f>
        <v>0</v>
      </c>
      <c r="P137" s="147"/>
      <c r="Q137" s="216"/>
      <c r="R137" s="156"/>
      <c r="S137" s="157" t="s">
        <v>22</v>
      </c>
      <c r="T137" s="158">
        <v>3299999</v>
      </c>
      <c r="U137" s="155">
        <f>IF(AND(R137="",T137=""),0,IF(V127&lt;=10000000,0,IF(V127&gt;20000000,0,IF(R137="",IF(V128&lt;=T137,1,0),IF(T137="",IF(V128&gt;=R137,1,0),IF(AND(V128&gt;=R137,V128&lt;=T137),1,0))))))</f>
        <v>0</v>
      </c>
      <c r="V137" s="159">
        <f>IF(U137=1,IF(V128-1000000&gt;0,V128-1000000,0),0)</f>
        <v>0</v>
      </c>
      <c r="Y137" s="7"/>
      <c r="Z137" s="7"/>
      <c r="AA137" s="7"/>
      <c r="AB137" s="7"/>
      <c r="AC137" s="7"/>
      <c r="AD137" s="7"/>
      <c r="AE137" s="7"/>
      <c r="AF137" s="7"/>
      <c r="AG137" s="7"/>
      <c r="AH137" s="7"/>
      <c r="AI137" s="7"/>
      <c r="AJ137" s="7"/>
      <c r="AK137" s="7"/>
      <c r="AL137" s="7"/>
      <c r="AM137" s="7"/>
      <c r="AN137" s="7"/>
      <c r="AO137" s="7"/>
      <c r="AP137" s="7"/>
      <c r="AQ137" s="7"/>
      <c r="AR137" s="7"/>
      <c r="AS137" s="7"/>
      <c r="AT137" s="7"/>
      <c r="AU137" s="7"/>
      <c r="AV137" s="7"/>
      <c r="AW137" s="7"/>
      <c r="AX137" s="7"/>
      <c r="AY137" s="7"/>
      <c r="AZ137" s="7"/>
    </row>
    <row r="138" spans="1:53">
      <c r="A138" s="7"/>
      <c r="B138" s="16"/>
      <c r="C138" s="166"/>
      <c r="D138" s="156">
        <v>3600000</v>
      </c>
      <c r="E138" s="157" t="s">
        <v>22</v>
      </c>
      <c r="F138" s="158">
        <v>6599999</v>
      </c>
      <c r="G138" s="155">
        <f>IF(AND(D138="",F138=""),0,IF(D138="",IF($H$128&lt;=F138,1,0),IF(F138="",IF($H$128&gt;=D138,1,0),IF(AND($H$128&gt;=D138,$H$128&lt;=F138),1,0))))</f>
        <v>0</v>
      </c>
      <c r="H138" s="163">
        <f>IF(G138=1,ROUNDDOWN(ROUNDDOWN(H128/4,-3)*3.2,0)-440000,0)</f>
        <v>0</v>
      </c>
      <c r="I138" s="147"/>
      <c r="J138" s="216"/>
      <c r="K138" s="156">
        <v>1300000</v>
      </c>
      <c r="L138" s="157" t="s">
        <v>22</v>
      </c>
      <c r="M138" s="158">
        <v>4099999</v>
      </c>
      <c r="N138" s="155">
        <f>IF(AND(K138="",M138=""),0,IF(O127&lt;=10000000,0,IF(O127&gt;20000000,0,IF(K138="",IF(O128&lt;=M138,1,0),IF(M138="",IF(O128&gt;=K138,1,0),IF(AND(O128&gt;=K138,O128&lt;=M138),1,0))))))</f>
        <v>0</v>
      </c>
      <c r="O138" s="159">
        <f>IF(N138=1,ROUNDDOWN(O128*0.75-175000,0),0)</f>
        <v>0</v>
      </c>
      <c r="P138" s="147"/>
      <c r="Q138" s="216"/>
      <c r="R138" s="156">
        <v>3300000</v>
      </c>
      <c r="S138" s="157" t="s">
        <v>22</v>
      </c>
      <c r="T138" s="158">
        <v>4099999</v>
      </c>
      <c r="U138" s="155">
        <f>IF(AND(R138="",T138=""),0,IF(V127&lt;=10000000,0,IF(V127&gt;20000000,0,IF(R138="",IF(V128&lt;=T138,1,0),IF(T138="",IF(V128&gt;=R138,1,0),IF(AND(V128&gt;=R138,V128&lt;=T138),1,0))))))</f>
        <v>0</v>
      </c>
      <c r="V138" s="159">
        <f>IF(U138=1,ROUNDDOWN(V128*0.75-175000,0),0)</f>
        <v>0</v>
      </c>
      <c r="Y138" s="7"/>
      <c r="Z138" s="7"/>
      <c r="AA138" s="7"/>
      <c r="AB138" s="7"/>
      <c r="AC138" s="7"/>
      <c r="AD138" s="7"/>
      <c r="AE138" s="7"/>
      <c r="AF138" s="7"/>
      <c r="AG138" s="7"/>
      <c r="AH138" s="7"/>
      <c r="AI138" s="7"/>
      <c r="AJ138" s="7"/>
      <c r="AK138" s="7"/>
      <c r="AL138" s="7"/>
      <c r="AM138" s="7"/>
      <c r="AN138" s="7"/>
      <c r="AO138" s="7"/>
      <c r="AP138" s="7"/>
      <c r="AQ138" s="7"/>
      <c r="AR138" s="7"/>
      <c r="AS138" s="7"/>
      <c r="AT138" s="7"/>
      <c r="AU138" s="7"/>
      <c r="AV138" s="7"/>
      <c r="AW138" s="7"/>
      <c r="AX138" s="7"/>
      <c r="AY138" s="7"/>
      <c r="AZ138" s="7"/>
    </row>
    <row r="139" spans="1:53">
      <c r="A139" s="7"/>
      <c r="B139" s="16"/>
      <c r="C139" s="166"/>
      <c r="D139" s="156">
        <v>6600000</v>
      </c>
      <c r="E139" s="157" t="s">
        <v>22</v>
      </c>
      <c r="F139" s="158">
        <v>8499999</v>
      </c>
      <c r="G139" s="155">
        <f t="shared" ref="G139:G149" si="97">IF(AND(D139="",F139=""),0,IF(D139="",IF($H$128&lt;=F139,1,0),IF(F139="",IF($H$128&gt;=D139,1,0),IF(AND($H$128&gt;=D139,$H$128&lt;=F139),1,0))))</f>
        <v>0</v>
      </c>
      <c r="H139" s="163">
        <f>IF(G139=1,ROUNDDOWN(H128*0.9-1100000,0),0)</f>
        <v>0</v>
      </c>
      <c r="I139" s="147"/>
      <c r="J139" s="216"/>
      <c r="K139" s="156">
        <v>4100000</v>
      </c>
      <c r="L139" s="157" t="s">
        <v>22</v>
      </c>
      <c r="M139" s="158">
        <v>7699999</v>
      </c>
      <c r="N139" s="155">
        <f>IF(AND(K139="",M139=""),0,IF(O127&lt;=10000000,0,IF(O127&gt;20000000,0,IF(K139="",IF(O128&lt;=M139,1,0),IF(M139="",IF(O128&gt;=K139,1,0),IF(AND(O128&gt;=K139,O128&lt;=M139),1,0))))))</f>
        <v>0</v>
      </c>
      <c r="O139" s="159">
        <f>IF(N139=1,ROUNDDOWN(O128*0.85-585000,0),0)</f>
        <v>0</v>
      </c>
      <c r="P139" s="147"/>
      <c r="Q139" s="216"/>
      <c r="R139" s="156">
        <v>4100000</v>
      </c>
      <c r="S139" s="157" t="s">
        <v>22</v>
      </c>
      <c r="T139" s="158">
        <v>7699999</v>
      </c>
      <c r="U139" s="155">
        <f>IF(AND(R139="",T139=""),0,IF(V127&lt;=10000000,0,IF(V127&gt;20000000,0,IF(R139="",IF(V128&lt;=T139,1,0),IF(T139="",IF(V128&gt;=R139,1,0),IF(AND(V128&gt;=R139,V128&lt;=T139),1,0))))))</f>
        <v>0</v>
      </c>
      <c r="V139" s="159">
        <f>IF(U139=1,ROUNDDOWN(V128*0.85-585000,0),0)</f>
        <v>0</v>
      </c>
      <c r="Y139" s="7"/>
      <c r="Z139" s="7"/>
      <c r="AA139" s="7"/>
      <c r="AB139" s="7"/>
      <c r="AC139" s="7"/>
      <c r="AD139" s="7"/>
      <c r="AE139" s="7"/>
      <c r="AF139" s="7"/>
      <c r="AG139" s="7"/>
      <c r="AH139" s="7"/>
      <c r="AI139" s="7"/>
      <c r="AJ139" s="7"/>
      <c r="AK139" s="7"/>
      <c r="AL139" s="7"/>
      <c r="AM139" s="7"/>
      <c r="AN139" s="7"/>
      <c r="AO139" s="7"/>
      <c r="AP139" s="7"/>
      <c r="AQ139" s="7"/>
      <c r="AR139" s="7"/>
      <c r="AS139" s="7"/>
      <c r="AT139" s="7"/>
      <c r="AU139" s="7"/>
      <c r="AV139" s="7"/>
      <c r="AW139" s="7"/>
      <c r="AX139" s="7"/>
      <c r="AY139" s="7"/>
      <c r="AZ139" s="7"/>
    </row>
    <row r="140" spans="1:53">
      <c r="A140" s="7"/>
      <c r="B140" s="16"/>
      <c r="C140" s="166"/>
      <c r="D140" s="156">
        <v>8500000</v>
      </c>
      <c r="E140" s="157" t="s">
        <v>22</v>
      </c>
      <c r="F140" s="158"/>
      <c r="G140" s="155">
        <f t="shared" si="97"/>
        <v>0</v>
      </c>
      <c r="H140" s="163">
        <f>IF(G140=1,H128-1950000,0)</f>
        <v>0</v>
      </c>
      <c r="I140" s="147"/>
      <c r="J140" s="216"/>
      <c r="K140" s="156">
        <v>7700000</v>
      </c>
      <c r="L140" s="157" t="s">
        <v>22</v>
      </c>
      <c r="M140" s="158">
        <v>9999999</v>
      </c>
      <c r="N140" s="155">
        <f>IF(AND(K140="",M140=""),0,IF(O127&lt;=10000000,0,IF(O127&gt;20000000,0,IF(K140="",IF(O128&lt;=M140,1,0),IF(M140="",IF(O128&gt;=K140,1,0),IF(AND(O128&gt;=K140,O128&lt;=M140),1,0))))))</f>
        <v>0</v>
      </c>
      <c r="O140" s="159">
        <f>IF(N140=1,ROUNDDOWN(O128*0.95-1355000,0),0)</f>
        <v>0</v>
      </c>
      <c r="P140" s="147"/>
      <c r="Q140" s="216"/>
      <c r="R140" s="156">
        <v>7700000</v>
      </c>
      <c r="S140" s="157" t="s">
        <v>22</v>
      </c>
      <c r="T140" s="158">
        <v>9999999</v>
      </c>
      <c r="U140" s="155">
        <f>IF(AND(R140="",T140=""),0,IF(V127&lt;=10000000,0,IF(V127&gt;20000000,0,IF(R140="",IF(V128&lt;=T140,1,0),IF(T140="",IF(V128&gt;=R140,1,0),IF(AND(V128&gt;=R140,V128&lt;=T140),1,0))))))</f>
        <v>0</v>
      </c>
      <c r="V140" s="159">
        <f>IF(U140=1,ROUNDDOWN(V128*0.95-1355000,0),0)</f>
        <v>0</v>
      </c>
      <c r="Y140" s="7"/>
      <c r="Z140" s="7"/>
      <c r="AA140" s="7"/>
      <c r="AB140" s="7"/>
      <c r="AC140" s="7"/>
      <c r="AD140" s="7"/>
      <c r="AE140" s="7"/>
      <c r="AF140" s="7"/>
      <c r="AG140" s="7"/>
      <c r="AH140" s="7"/>
      <c r="AI140" s="7"/>
      <c r="AJ140" s="7"/>
      <c r="AK140" s="7"/>
      <c r="AL140" s="7"/>
      <c r="AM140" s="7"/>
      <c r="AN140" s="7"/>
      <c r="AO140" s="7"/>
      <c r="AP140" s="7"/>
      <c r="AQ140" s="7"/>
      <c r="AR140" s="7"/>
      <c r="AS140" s="7"/>
      <c r="AT140" s="7"/>
      <c r="AU140" s="7"/>
      <c r="AV140" s="7"/>
      <c r="AW140" s="7"/>
      <c r="AX140" s="7"/>
      <c r="AY140" s="7"/>
      <c r="AZ140" s="7"/>
    </row>
    <row r="141" spans="1:53">
      <c r="A141" s="7"/>
      <c r="B141" s="16"/>
      <c r="C141" s="166"/>
      <c r="D141" s="156"/>
      <c r="E141" s="157" t="s">
        <v>22</v>
      </c>
      <c r="F141" s="158"/>
      <c r="G141" s="155">
        <f t="shared" si="97"/>
        <v>0</v>
      </c>
      <c r="H141" s="163"/>
      <c r="I141" s="147"/>
      <c r="J141" s="216"/>
      <c r="K141" s="156">
        <v>10000000</v>
      </c>
      <c r="L141" s="157" t="s">
        <v>22</v>
      </c>
      <c r="M141" s="158"/>
      <c r="N141" s="155">
        <f>IF(AND(K141="",M141=""),0,IF(O127&lt;=10000000,0,IF(O127&gt;20000000,0,IF(K141="",IF(O128&lt;=M141,1,0),IF(M141="",IF(O128&gt;=K141,1,0),IF(AND(O128&gt;=K141,O128&lt;=M141),1,0))))))</f>
        <v>0</v>
      </c>
      <c r="O141" s="159">
        <f>IF(N141=1,O128-1855000,0)</f>
        <v>0</v>
      </c>
      <c r="P141" s="147"/>
      <c r="Q141" s="216"/>
      <c r="R141" s="156">
        <v>10000000</v>
      </c>
      <c r="S141" s="157" t="s">
        <v>22</v>
      </c>
      <c r="T141" s="158"/>
      <c r="U141" s="155">
        <f>IF(AND(R141="",T141=""),0,IF(V127&lt;=10000000,0,IF(V127&gt;20000000,0,IF(R141="",IF(V128&lt;=T141,1,0),IF(T141="",IF(V128&gt;=R141,1,0),IF(AND(V128&gt;=R141,V128&lt;=T141),1,0))))))</f>
        <v>0</v>
      </c>
      <c r="V141" s="159">
        <f>IF(U141=1,V128-1855000,0)</f>
        <v>0</v>
      </c>
      <c r="Y141" s="7"/>
      <c r="Z141" s="7"/>
      <c r="AA141" s="7"/>
      <c r="AB141" s="7"/>
      <c r="AC141" s="7"/>
      <c r="AD141" s="7"/>
      <c r="AE141" s="7"/>
      <c r="AF141" s="7"/>
      <c r="AG141" s="7"/>
      <c r="AH141" s="7"/>
      <c r="AI141" s="7"/>
      <c r="AJ141" s="7"/>
      <c r="AK141" s="7"/>
      <c r="AL141" s="7"/>
      <c r="AM141" s="7"/>
      <c r="AN141" s="7"/>
      <c r="AO141" s="7"/>
      <c r="AP141" s="7"/>
      <c r="AQ141" s="7"/>
      <c r="AR141" s="7"/>
      <c r="AS141" s="7"/>
      <c r="AT141" s="7"/>
      <c r="AU141" s="7"/>
      <c r="AV141" s="7"/>
      <c r="AW141" s="7"/>
      <c r="AX141" s="7"/>
      <c r="AY141" s="7"/>
      <c r="AZ141" s="7"/>
    </row>
    <row r="142" spans="1:53">
      <c r="A142" s="7"/>
      <c r="B142" s="16"/>
      <c r="C142" s="166"/>
      <c r="D142" s="156"/>
      <c r="E142" s="157" t="s">
        <v>22</v>
      </c>
      <c r="F142" s="158"/>
      <c r="G142" s="155">
        <f t="shared" si="97"/>
        <v>0</v>
      </c>
      <c r="H142" s="163"/>
      <c r="I142" s="147"/>
      <c r="J142" s="216"/>
      <c r="K142" s="156"/>
      <c r="L142" s="162" t="s">
        <v>27</v>
      </c>
      <c r="M142" s="158"/>
      <c r="N142" s="155"/>
      <c r="O142" s="163"/>
      <c r="P142" s="147"/>
      <c r="Q142" s="216"/>
      <c r="R142" s="156"/>
      <c r="S142" s="162" t="s">
        <v>27</v>
      </c>
      <c r="T142" s="158"/>
      <c r="U142" s="155"/>
      <c r="V142" s="163"/>
      <c r="Y142" s="7"/>
      <c r="Z142" s="7"/>
      <c r="AA142" s="7"/>
      <c r="AB142" s="7"/>
      <c r="AC142" s="7"/>
      <c r="AD142" s="7"/>
      <c r="AE142" s="7"/>
      <c r="AF142" s="7"/>
      <c r="AG142" s="7"/>
      <c r="AH142" s="7"/>
      <c r="AI142" s="7"/>
      <c r="AJ142" s="7"/>
      <c r="AK142" s="7"/>
      <c r="AL142" s="7"/>
      <c r="AM142" s="7"/>
      <c r="AN142" s="7"/>
      <c r="AO142" s="7"/>
      <c r="AP142" s="7"/>
      <c r="AQ142" s="7"/>
      <c r="AR142" s="7"/>
      <c r="AS142" s="7"/>
      <c r="AT142" s="7"/>
      <c r="AU142" s="7"/>
      <c r="AV142" s="7"/>
      <c r="AW142" s="7"/>
      <c r="AX142" s="7"/>
      <c r="AY142" s="7"/>
      <c r="AZ142" s="7"/>
    </row>
    <row r="143" spans="1:53">
      <c r="A143" s="7"/>
      <c r="B143" s="16"/>
      <c r="C143" s="166"/>
      <c r="D143" s="156"/>
      <c r="E143" s="157" t="s">
        <v>22</v>
      </c>
      <c r="F143" s="158"/>
      <c r="G143" s="155">
        <f t="shared" si="97"/>
        <v>0</v>
      </c>
      <c r="H143" s="163"/>
      <c r="I143" s="147"/>
      <c r="J143" s="216"/>
      <c r="K143" s="156"/>
      <c r="L143" s="157" t="s">
        <v>22</v>
      </c>
      <c r="M143" s="158">
        <v>1299999</v>
      </c>
      <c r="N143" s="155">
        <f>IF(AND(K143="",M143=""),0,IF(O127&lt;=20000000,0,IF(K143="",IF(O128&lt;=M143,1,0),IF(M143="",IF(O128&gt;=K143,1,0),IF(AND(O128&gt;=K143,O128&lt;=M143),1,0)))))</f>
        <v>0</v>
      </c>
      <c r="O143" s="159">
        <f>IF(N143=1,IF(O128-400000&gt;0,O128-400000,0),0)</f>
        <v>0</v>
      </c>
      <c r="P143" s="147"/>
      <c r="Q143" s="216"/>
      <c r="R143" s="156"/>
      <c r="S143" s="157" t="s">
        <v>22</v>
      </c>
      <c r="T143" s="158">
        <v>3299999</v>
      </c>
      <c r="U143" s="155">
        <f>IF(AND(R143="",T143=""),0,IF(V127&lt;=20000000,0,IF(R143="",IF(V128&lt;=T143,1,0),IF(T143="",IF(V128&gt;=R143,1,0),IF(AND(V128&gt;=R143,V128&lt;=T143),1,0)))))</f>
        <v>0</v>
      </c>
      <c r="V143" s="159">
        <f>IF(U143=1,IF(V128-900000&gt;0,V128-900000,0),0)</f>
        <v>0</v>
      </c>
      <c r="Y143" s="7"/>
      <c r="Z143" s="7"/>
      <c r="AA143" s="7"/>
      <c r="AB143" s="7"/>
      <c r="AC143" s="7"/>
      <c r="AD143" s="7"/>
      <c r="AE143" s="7"/>
      <c r="AF143" s="7"/>
      <c r="AG143" s="7"/>
      <c r="AH143" s="7"/>
      <c r="AI143" s="7"/>
      <c r="AJ143" s="7"/>
      <c r="AK143" s="7"/>
      <c r="AL143" s="7"/>
      <c r="AM143" s="7"/>
      <c r="AN143" s="7"/>
      <c r="AO143" s="7"/>
      <c r="AP143" s="7"/>
      <c r="AQ143" s="7"/>
      <c r="AR143" s="7"/>
      <c r="AS143" s="7"/>
      <c r="AT143" s="7"/>
      <c r="AU143" s="7"/>
      <c r="AV143" s="7"/>
      <c r="AW143" s="7"/>
      <c r="AX143" s="7"/>
      <c r="AY143" s="7"/>
      <c r="AZ143" s="7"/>
    </row>
    <row r="144" spans="1:53">
      <c r="A144" s="7"/>
      <c r="B144" s="16"/>
      <c r="C144" s="166"/>
      <c r="D144" s="156"/>
      <c r="E144" s="157" t="s">
        <v>22</v>
      </c>
      <c r="F144" s="158"/>
      <c r="G144" s="155">
        <f t="shared" si="97"/>
        <v>0</v>
      </c>
      <c r="H144" s="163"/>
      <c r="I144" s="147"/>
      <c r="J144" s="216"/>
      <c r="K144" s="156">
        <v>1300000</v>
      </c>
      <c r="L144" s="157" t="s">
        <v>22</v>
      </c>
      <c r="M144" s="158">
        <v>4099999</v>
      </c>
      <c r="N144" s="155">
        <f>IF(AND(K144="",M144=""),0,IF(O127&lt;=20000000,0,IF(K144="",IF(O128&lt;=M144,1,0),IF(M144="",IF(O128&gt;=K144,1,0),IF(AND(O128&gt;=K144,O128&lt;=M144),1,0)))))</f>
        <v>0</v>
      </c>
      <c r="O144" s="159">
        <f>IF(N144=1,ROUNDDOWN(O128*0.75-75000,0),0)</f>
        <v>0</v>
      </c>
      <c r="P144" s="147"/>
      <c r="Q144" s="216"/>
      <c r="R144" s="156">
        <v>3300000</v>
      </c>
      <c r="S144" s="157" t="s">
        <v>22</v>
      </c>
      <c r="T144" s="158">
        <v>4099999</v>
      </c>
      <c r="U144" s="155">
        <f>IF(AND(R144="",T144=""),0,IF(V127&lt;=20000000,0,IF(R144="",IF(V128&lt;=T144,1,0),IF(T144="",IF(V128&gt;=R144,1,0),IF(AND(V128&gt;=R144,V128&lt;=T144),1,0)))))</f>
        <v>0</v>
      </c>
      <c r="V144" s="159">
        <f>IF(U144=1,ROUNDDOWN(V128*0.75-75000,0),0)</f>
        <v>0</v>
      </c>
      <c r="Y144" s="7"/>
      <c r="Z144" s="7"/>
      <c r="AA144" s="7"/>
      <c r="AB144" s="7"/>
      <c r="AC144" s="7"/>
      <c r="AD144" s="7"/>
      <c r="AE144" s="7"/>
      <c r="AF144" s="7"/>
      <c r="AG144" s="7"/>
      <c r="AH144" s="7"/>
      <c r="AI144" s="7"/>
      <c r="AJ144" s="7"/>
      <c r="AK144" s="7"/>
      <c r="AL144" s="7"/>
      <c r="AM144" s="7"/>
      <c r="AN144" s="7"/>
      <c r="AO144" s="7"/>
      <c r="AP144" s="7"/>
      <c r="AQ144" s="7"/>
      <c r="AR144" s="7"/>
      <c r="AS144" s="7"/>
      <c r="AT144" s="7"/>
      <c r="AU144" s="7"/>
      <c r="AV144" s="7"/>
      <c r="AW144" s="7"/>
      <c r="AX144" s="7"/>
      <c r="AY144" s="7"/>
      <c r="AZ144" s="7"/>
    </row>
    <row r="145" spans="1:53">
      <c r="A145" s="7"/>
      <c r="B145" s="16"/>
      <c r="C145" s="166"/>
      <c r="D145" s="156"/>
      <c r="E145" s="157" t="s">
        <v>22</v>
      </c>
      <c r="F145" s="158"/>
      <c r="G145" s="155">
        <f t="shared" si="97"/>
        <v>0</v>
      </c>
      <c r="H145" s="163"/>
      <c r="I145" s="147"/>
      <c r="J145" s="216"/>
      <c r="K145" s="156">
        <v>4100000</v>
      </c>
      <c r="L145" s="157" t="s">
        <v>22</v>
      </c>
      <c r="M145" s="158">
        <v>7699999</v>
      </c>
      <c r="N145" s="155">
        <f>IF(AND(K145="",M145=""),0,IF(O127&lt;=20000000,0,IF(K145="",IF(O128&lt;=M145,1,0),IF(M145="",IF(O128&gt;=K145,1,0),IF(AND(O128&gt;=K145,O128&lt;=M145),1,0)))))</f>
        <v>0</v>
      </c>
      <c r="O145" s="159">
        <f>IF(N145=1,ROUNDDOWN(O128*0.85-485000,0),0)</f>
        <v>0</v>
      </c>
      <c r="P145" s="147"/>
      <c r="Q145" s="216"/>
      <c r="R145" s="156">
        <v>4100000</v>
      </c>
      <c r="S145" s="157" t="s">
        <v>22</v>
      </c>
      <c r="T145" s="158">
        <v>7699999</v>
      </c>
      <c r="U145" s="155">
        <f>IF(AND(R145="",T145=""),0,IF(V127&lt;=20000000,0,IF(R145="",IF(V128&lt;=T145,1,0),IF(T145="",IF(V128&gt;=R145,1,0),IF(AND(V128&gt;=R145,V128&lt;=T145),1,0)))))</f>
        <v>0</v>
      </c>
      <c r="V145" s="159">
        <f>IF(U145=1,ROUNDDOWN(V128*0.85-485000,0),0)</f>
        <v>0</v>
      </c>
      <c r="Y145" s="7"/>
      <c r="Z145" s="7"/>
      <c r="AA145" s="7"/>
      <c r="AB145" s="7"/>
      <c r="AC145" s="7"/>
      <c r="AD145" s="7"/>
      <c r="AE145" s="7"/>
      <c r="AF145" s="7"/>
      <c r="AG145" s="7"/>
      <c r="AH145" s="7"/>
      <c r="AI145" s="7"/>
      <c r="AJ145" s="7"/>
      <c r="AK145" s="7"/>
      <c r="AL145" s="7"/>
      <c r="AM145" s="7"/>
      <c r="AN145" s="7"/>
      <c r="AO145" s="7"/>
      <c r="AP145" s="7"/>
      <c r="AQ145" s="7"/>
      <c r="AR145" s="7"/>
      <c r="AS145" s="7"/>
      <c r="AT145" s="7"/>
      <c r="AU145" s="7"/>
      <c r="AV145" s="7"/>
      <c r="AW145" s="7"/>
      <c r="AX145" s="7"/>
      <c r="AY145" s="7"/>
      <c r="AZ145" s="7"/>
    </row>
    <row r="146" spans="1:53">
      <c r="A146" s="7"/>
      <c r="B146" s="16"/>
      <c r="C146" s="166"/>
      <c r="D146" s="156"/>
      <c r="E146" s="157" t="s">
        <v>22</v>
      </c>
      <c r="F146" s="158"/>
      <c r="G146" s="155">
        <f t="shared" si="97"/>
        <v>0</v>
      </c>
      <c r="H146" s="163"/>
      <c r="I146" s="147"/>
      <c r="J146" s="216"/>
      <c r="K146" s="156">
        <v>7700000</v>
      </c>
      <c r="L146" s="157" t="s">
        <v>22</v>
      </c>
      <c r="M146" s="158">
        <v>9999999</v>
      </c>
      <c r="N146" s="155">
        <f>IF(AND(K146="",M146=""),0,IF(O127&lt;=20000000,0,IF(K146="",IF(O128&lt;=M146,1,0),IF(M146="",IF(O128&gt;=K146,1,0),IF(AND(O128&gt;=K146,O128&lt;=M146),1,0)))))</f>
        <v>0</v>
      </c>
      <c r="O146" s="159">
        <f>IF(N146=1,ROUNDDOWN(O128*0.95-1255000,0),0)</f>
        <v>0</v>
      </c>
      <c r="P146" s="147"/>
      <c r="Q146" s="216"/>
      <c r="R146" s="156">
        <v>7700000</v>
      </c>
      <c r="S146" s="157" t="s">
        <v>22</v>
      </c>
      <c r="T146" s="158">
        <v>9999999</v>
      </c>
      <c r="U146" s="155">
        <f>IF(AND(R146="",T146=""),0,IF(V127&lt;=20000000,0,IF(R146="",IF(V128&lt;=T146,1,0),IF(T146="",IF(V128&gt;=R146,1,0),IF(AND(V128&gt;=R146,V128&lt;=T146),1,0)))))</f>
        <v>0</v>
      </c>
      <c r="V146" s="159">
        <f>IF(U146=1,ROUNDDOWN(V128*0.95-1255000,0),0)</f>
        <v>0</v>
      </c>
      <c r="Y146" s="7"/>
      <c r="Z146" s="7"/>
      <c r="AA146" s="7"/>
      <c r="AB146" s="7"/>
      <c r="AC146" s="7"/>
      <c r="AD146" s="7"/>
      <c r="AE146" s="7"/>
      <c r="AF146" s="7"/>
      <c r="AG146" s="7"/>
      <c r="AH146" s="7"/>
      <c r="AI146" s="7"/>
      <c r="AJ146" s="7"/>
      <c r="AK146" s="7"/>
      <c r="AL146" s="7"/>
      <c r="AM146" s="7"/>
      <c r="AN146" s="7"/>
      <c r="AO146" s="7"/>
      <c r="AP146" s="7"/>
      <c r="AQ146" s="7"/>
      <c r="AR146" s="7"/>
      <c r="AS146" s="7"/>
      <c r="AT146" s="7"/>
      <c r="AU146" s="7"/>
      <c r="AV146" s="7"/>
      <c r="AW146" s="7"/>
      <c r="AX146" s="7"/>
      <c r="AY146" s="7"/>
      <c r="AZ146" s="7"/>
    </row>
    <row r="147" spans="1:53">
      <c r="A147" s="7"/>
      <c r="B147" s="16"/>
      <c r="C147" s="166"/>
      <c r="D147" s="156"/>
      <c r="E147" s="157" t="s">
        <v>22</v>
      </c>
      <c r="F147" s="158"/>
      <c r="G147" s="155">
        <f t="shared" si="97"/>
        <v>0</v>
      </c>
      <c r="H147" s="163"/>
      <c r="I147" s="147"/>
      <c r="J147" s="216"/>
      <c r="K147" s="156">
        <v>10000000</v>
      </c>
      <c r="L147" s="157" t="s">
        <v>22</v>
      </c>
      <c r="M147" s="158"/>
      <c r="N147" s="155">
        <f>IF(AND(K147="",M147=""),0,IF(O127&lt;=20000000,0,IF(K147="",IF(O128&lt;=M147,1,0),IF(M147="",IF(O128&gt;=K147,1,0),IF(AND(O128&gt;=K147,O128&lt;=M147),1,0)))))</f>
        <v>0</v>
      </c>
      <c r="O147" s="159">
        <f>IF(N147=1,O128-1755000,0)</f>
        <v>0</v>
      </c>
      <c r="P147" s="147"/>
      <c r="Q147" s="216"/>
      <c r="R147" s="156">
        <v>10000000</v>
      </c>
      <c r="S147" s="157" t="s">
        <v>22</v>
      </c>
      <c r="T147" s="158"/>
      <c r="U147" s="155">
        <f>IF(AND(R147="",T147=""),0,IF(V127&lt;=20000000,0,IF(R147="",IF(V128&lt;=T147,1,0),IF(T147="",IF(V128&gt;=R147,1,0),IF(AND(V128&gt;=R147,V128&lt;=T147),1,0)))))</f>
        <v>0</v>
      </c>
      <c r="V147" s="159">
        <f>IF(U147=1,V128-1755000,0)</f>
        <v>0</v>
      </c>
      <c r="Y147" s="7"/>
      <c r="Z147" s="7"/>
      <c r="AA147" s="7"/>
      <c r="AB147" s="7"/>
      <c r="AC147" s="7"/>
      <c r="AD147" s="7"/>
      <c r="AE147" s="7"/>
      <c r="AF147" s="7"/>
      <c r="AG147" s="7"/>
      <c r="AH147" s="7"/>
      <c r="AI147" s="7"/>
      <c r="AJ147" s="7"/>
      <c r="AK147" s="7"/>
      <c r="AL147" s="7"/>
      <c r="AM147" s="7"/>
      <c r="AN147" s="7"/>
      <c r="AO147" s="7"/>
      <c r="AP147" s="7"/>
      <c r="AQ147" s="7"/>
      <c r="AR147" s="7"/>
      <c r="AS147" s="7"/>
      <c r="AT147" s="7"/>
      <c r="AU147" s="7"/>
      <c r="AV147" s="7"/>
      <c r="AW147" s="7"/>
      <c r="AX147" s="7"/>
      <c r="AY147" s="7"/>
      <c r="AZ147" s="7"/>
    </row>
    <row r="148" spans="1:53">
      <c r="A148" s="7"/>
      <c r="B148" s="16"/>
      <c r="C148" s="166"/>
      <c r="D148" s="156"/>
      <c r="E148" s="157" t="s">
        <v>22</v>
      </c>
      <c r="F148" s="158"/>
      <c r="G148" s="155">
        <f t="shared" si="97"/>
        <v>0</v>
      </c>
      <c r="H148" s="159"/>
      <c r="I148" s="147"/>
      <c r="J148" s="216"/>
      <c r="K148" s="156"/>
      <c r="L148" s="157" t="s">
        <v>22</v>
      </c>
      <c r="M148" s="158"/>
      <c r="N148" s="155"/>
      <c r="O148" s="159"/>
      <c r="P148" s="147"/>
      <c r="Q148" s="216"/>
      <c r="R148" s="156"/>
      <c r="S148" s="157" t="s">
        <v>22</v>
      </c>
      <c r="T148" s="158"/>
      <c r="U148" s="155"/>
      <c r="V148" s="159"/>
      <c r="Y148" s="7"/>
      <c r="Z148" s="7"/>
      <c r="AA148" s="7"/>
      <c r="AB148" s="7"/>
      <c r="AC148" s="7"/>
      <c r="AD148" s="7"/>
      <c r="AE148" s="7"/>
      <c r="AF148" s="7"/>
      <c r="AG148" s="7"/>
      <c r="AH148" s="7"/>
      <c r="AI148" s="7"/>
      <c r="AJ148" s="7"/>
      <c r="AK148" s="7"/>
      <c r="AL148" s="7"/>
      <c r="AM148" s="7"/>
      <c r="AN148" s="7"/>
      <c r="AO148" s="7"/>
      <c r="AP148" s="7"/>
      <c r="AQ148" s="7"/>
      <c r="AR148" s="7"/>
      <c r="AS148" s="7"/>
      <c r="AT148" s="7"/>
      <c r="AU148" s="7"/>
      <c r="AV148" s="7"/>
      <c r="AW148" s="7"/>
      <c r="AX148" s="7"/>
      <c r="AY148" s="7"/>
      <c r="AZ148" s="7"/>
    </row>
    <row r="149" spans="1:53">
      <c r="A149" s="7"/>
      <c r="B149" s="16"/>
      <c r="C149" s="166"/>
      <c r="D149" s="156"/>
      <c r="E149" s="157" t="s">
        <v>22</v>
      </c>
      <c r="F149" s="158"/>
      <c r="G149" s="155">
        <f t="shared" si="97"/>
        <v>0</v>
      </c>
      <c r="H149" s="159"/>
      <c r="I149" s="147"/>
      <c r="J149" s="216"/>
      <c r="K149" s="156"/>
      <c r="L149" s="157" t="s">
        <v>22</v>
      </c>
      <c r="M149" s="158"/>
      <c r="N149" s="155"/>
      <c r="O149" s="159"/>
      <c r="P149" s="147"/>
      <c r="Q149" s="216"/>
      <c r="R149" s="156"/>
      <c r="S149" s="157" t="s">
        <v>22</v>
      </c>
      <c r="T149" s="158"/>
      <c r="U149" s="155"/>
      <c r="V149" s="159"/>
      <c r="Y149" s="7"/>
      <c r="Z149" s="7"/>
      <c r="AA149" s="7"/>
      <c r="AB149" s="7"/>
      <c r="AC149" s="7"/>
      <c r="AD149" s="7"/>
      <c r="AE149" s="7"/>
      <c r="AF149" s="7"/>
      <c r="AG149" s="7"/>
      <c r="AH149" s="7"/>
      <c r="AI149" s="7"/>
      <c r="AJ149" s="7"/>
      <c r="AK149" s="7"/>
      <c r="AL149" s="7"/>
      <c r="AM149" s="7"/>
      <c r="AN149" s="7"/>
      <c r="AO149" s="7"/>
      <c r="AP149" s="7"/>
      <c r="AQ149" s="7"/>
      <c r="AR149" s="7"/>
      <c r="AS149" s="7"/>
      <c r="AT149" s="7"/>
      <c r="AU149" s="7"/>
      <c r="AV149" s="7"/>
      <c r="AW149" s="7"/>
      <c r="AX149" s="7"/>
      <c r="AY149" s="7"/>
      <c r="AZ149" s="7"/>
    </row>
    <row r="150" spans="1:53">
      <c r="A150" s="7"/>
      <c r="B150" s="16"/>
      <c r="C150" s="212" t="s">
        <v>20</v>
      </c>
      <c r="D150" s="213"/>
      <c r="E150" s="213"/>
      <c r="F150" s="213"/>
      <c r="G150" s="213"/>
      <c r="H150" s="151">
        <f>SUM(H130:H149)</f>
        <v>0</v>
      </c>
      <c r="I150" s="147"/>
      <c r="J150" s="214" t="s">
        <v>21</v>
      </c>
      <c r="K150" s="215"/>
      <c r="L150" s="215"/>
      <c r="M150" s="215"/>
      <c r="N150" s="212"/>
      <c r="O150" s="151">
        <f>SUM(O130:O149)</f>
        <v>0</v>
      </c>
      <c r="P150" s="147"/>
      <c r="Q150" s="214" t="s">
        <v>21</v>
      </c>
      <c r="R150" s="215"/>
      <c r="S150" s="215"/>
      <c r="T150" s="215"/>
      <c r="U150" s="212"/>
      <c r="V150" s="151">
        <f>SUM(V130:V149)</f>
        <v>0</v>
      </c>
      <c r="Y150" s="7"/>
      <c r="Z150" s="7"/>
      <c r="AA150" s="7"/>
      <c r="AB150" s="7"/>
      <c r="AC150" s="7"/>
      <c r="AD150" s="7"/>
      <c r="AE150" s="7"/>
      <c r="AF150" s="7"/>
      <c r="AG150" s="7"/>
      <c r="AH150" s="7"/>
      <c r="AI150" s="7"/>
      <c r="AJ150" s="7"/>
      <c r="AK150" s="7"/>
      <c r="AL150" s="7"/>
      <c r="AM150" s="7"/>
      <c r="AN150" s="7"/>
      <c r="AO150" s="7"/>
      <c r="AP150" s="7"/>
      <c r="AQ150" s="7"/>
      <c r="AR150" s="7"/>
      <c r="AS150" s="7"/>
      <c r="AT150" s="7"/>
      <c r="AU150" s="7"/>
      <c r="AV150" s="7"/>
      <c r="AW150" s="7"/>
      <c r="AX150" s="7"/>
      <c r="AY150" s="7"/>
      <c r="AZ150" s="7"/>
    </row>
    <row r="151" spans="1:53">
      <c r="C151" s="164"/>
      <c r="D151" s="165"/>
      <c r="E151" s="165"/>
      <c r="F151" s="165"/>
      <c r="G151" s="165"/>
      <c r="H151" s="165"/>
      <c r="I151" s="165"/>
      <c r="J151" s="165"/>
      <c r="K151" s="165"/>
      <c r="L151" s="165"/>
      <c r="M151" s="165"/>
      <c r="N151" s="165"/>
      <c r="O151" s="165"/>
      <c r="P151" s="165"/>
      <c r="Q151" s="165"/>
      <c r="R151" s="165"/>
      <c r="S151" s="165"/>
      <c r="T151" s="165"/>
      <c r="U151" s="165"/>
      <c r="V151" s="165"/>
      <c r="Y151" s="7"/>
      <c r="Z151" s="7"/>
      <c r="AA151" s="7"/>
      <c r="AB151" s="7"/>
      <c r="AC151" s="7"/>
      <c r="AD151" s="7"/>
      <c r="AE151" s="7"/>
      <c r="AF151" s="7"/>
      <c r="AG151" s="7"/>
      <c r="AH151" s="7"/>
      <c r="AI151" s="7"/>
      <c r="AJ151" s="7"/>
      <c r="AK151" s="7"/>
      <c r="AL151" s="7"/>
      <c r="AM151" s="7"/>
      <c r="AN151" s="7"/>
      <c r="AO151" s="7"/>
      <c r="AP151" s="7"/>
      <c r="AQ151" s="7"/>
      <c r="AR151" s="7"/>
      <c r="AS151" s="7"/>
      <c r="AT151" s="7"/>
      <c r="AU151" s="7"/>
      <c r="AV151" s="7"/>
      <c r="AW151" s="7"/>
      <c r="AX151" s="7"/>
      <c r="AY151" s="7"/>
      <c r="AZ151" s="7"/>
    </row>
    <row r="152" spans="1:53">
      <c r="A152" s="7"/>
      <c r="B152" s="7" t="s">
        <v>28</v>
      </c>
      <c r="C152" s="144"/>
      <c r="D152" s="145" t="str">
        <f>IF(C154=0,"空欄",Z158)</f>
        <v>空欄</v>
      </c>
      <c r="E152" s="146" t="s">
        <v>29</v>
      </c>
      <c r="F152" s="146"/>
      <c r="G152" s="146"/>
      <c r="H152" s="146"/>
      <c r="I152" s="147"/>
      <c r="J152" s="147"/>
      <c r="K152" s="148" t="s">
        <v>14</v>
      </c>
      <c r="L152" s="147"/>
      <c r="M152" s="149"/>
      <c r="N152" s="150" t="s">
        <v>15</v>
      </c>
      <c r="O152" s="151">
        <f>H175+C157</f>
        <v>0</v>
      </c>
      <c r="P152" s="147"/>
      <c r="Q152" s="147"/>
      <c r="R152" s="147" t="s">
        <v>16</v>
      </c>
      <c r="S152" s="147"/>
      <c r="T152" s="149"/>
      <c r="U152" s="150" t="s">
        <v>15</v>
      </c>
      <c r="V152" s="151">
        <f>H175+C156</f>
        <v>0</v>
      </c>
      <c r="Y152" s="56"/>
      <c r="Z152" s="56"/>
      <c r="AA152" s="56"/>
      <c r="AB152" s="56"/>
      <c r="AC152" s="56"/>
      <c r="AD152" s="56"/>
      <c r="AE152" s="56"/>
      <c r="AF152" s="56"/>
      <c r="AG152" s="56"/>
      <c r="AH152" s="56"/>
      <c r="AI152" s="56"/>
      <c r="AJ152" s="56"/>
      <c r="AK152" s="56"/>
      <c r="AL152" s="56"/>
      <c r="AM152" s="56"/>
      <c r="AN152" s="56"/>
      <c r="AO152" s="56"/>
      <c r="AP152" s="56"/>
      <c r="AQ152" s="56"/>
      <c r="AR152" s="56"/>
      <c r="AS152" s="56"/>
      <c r="AT152" s="56"/>
      <c r="AU152" s="56"/>
      <c r="AV152" s="56"/>
      <c r="AW152" s="56"/>
      <c r="AX152" s="56"/>
      <c r="AY152" s="56"/>
      <c r="AZ152" s="56"/>
    </row>
    <row r="153" spans="1:53" ht="13.5" customHeight="1">
      <c r="A153" s="7" t="s">
        <v>41</v>
      </c>
      <c r="B153" s="16"/>
      <c r="C153" s="152" t="s">
        <v>131</v>
      </c>
      <c r="D153" s="213" t="s">
        <v>17</v>
      </c>
      <c r="E153" s="213"/>
      <c r="F153" s="213"/>
      <c r="G153" s="213"/>
      <c r="H153" s="153">
        <f>C155</f>
        <v>0</v>
      </c>
      <c r="I153" s="147"/>
      <c r="J153" s="217" t="s">
        <v>33</v>
      </c>
      <c r="K153" s="213" t="s">
        <v>31</v>
      </c>
      <c r="L153" s="213"/>
      <c r="M153" s="213"/>
      <c r="N153" s="213"/>
      <c r="O153" s="154">
        <f>IF(D152&lt;65,C156,0)</f>
        <v>0</v>
      </c>
      <c r="P153" s="147"/>
      <c r="Q153" s="216" t="s">
        <v>34</v>
      </c>
      <c r="R153" s="213" t="s">
        <v>31</v>
      </c>
      <c r="S153" s="213"/>
      <c r="T153" s="213"/>
      <c r="U153" s="213"/>
      <c r="V153" s="154">
        <f>IF(D152&gt;=65,C156,0)</f>
        <v>0</v>
      </c>
      <c r="Y153" s="56"/>
      <c r="Z153" s="56"/>
      <c r="AA153" s="56"/>
      <c r="AB153" s="56"/>
      <c r="AC153" s="56"/>
      <c r="AD153" s="56"/>
      <c r="AE153" s="56"/>
      <c r="AF153" s="56"/>
      <c r="AG153" s="56"/>
      <c r="AH153" s="56"/>
      <c r="AI153" s="56"/>
      <c r="AJ153" s="56"/>
      <c r="AK153" s="56"/>
      <c r="AL153" s="56"/>
      <c r="AM153" s="56"/>
      <c r="AN153" s="56"/>
      <c r="AO153" s="56"/>
      <c r="AP153" s="56"/>
      <c r="AQ153" s="56"/>
      <c r="AR153" s="56"/>
      <c r="AS153" s="56"/>
      <c r="AT153" s="56"/>
      <c r="AU153" s="56"/>
      <c r="AV153" s="56"/>
      <c r="AW153" s="56"/>
      <c r="AX153" s="56"/>
      <c r="AY153" s="56"/>
      <c r="AZ153" s="56"/>
    </row>
    <row r="154" spans="1:53" ht="14.25" thickBot="1">
      <c r="A154" s="7"/>
      <c r="B154" s="2" t="s">
        <v>44</v>
      </c>
      <c r="C154" s="152">
        <f>簡易試算シート!C15</f>
        <v>0</v>
      </c>
      <c r="D154" s="215" t="s">
        <v>18</v>
      </c>
      <c r="E154" s="215"/>
      <c r="F154" s="212"/>
      <c r="G154" s="155" t="s">
        <v>19</v>
      </c>
      <c r="H154" s="155" t="s">
        <v>20</v>
      </c>
      <c r="I154" s="147"/>
      <c r="J154" s="216"/>
      <c r="K154" s="215" t="s">
        <v>18</v>
      </c>
      <c r="L154" s="215"/>
      <c r="M154" s="212"/>
      <c r="N154" s="155" t="s">
        <v>19</v>
      </c>
      <c r="O154" s="155" t="s">
        <v>20</v>
      </c>
      <c r="P154" s="147"/>
      <c r="Q154" s="216"/>
      <c r="R154" s="215"/>
      <c r="S154" s="215"/>
      <c r="T154" s="212"/>
      <c r="U154" s="155" t="s">
        <v>19</v>
      </c>
      <c r="V154" s="155" t="s">
        <v>21</v>
      </c>
      <c r="Y154" s="56"/>
      <c r="Z154" s="56"/>
      <c r="AA154" s="56"/>
      <c r="AB154" s="56"/>
      <c r="AC154" s="56"/>
      <c r="AD154" s="56"/>
      <c r="AE154" s="56"/>
      <c r="AF154" s="56"/>
      <c r="AG154" s="56"/>
      <c r="AH154" s="56"/>
      <c r="AI154" s="56"/>
      <c r="AJ154" s="56"/>
      <c r="AK154" s="56"/>
      <c r="AL154" s="56"/>
      <c r="AM154" s="56"/>
      <c r="AN154" s="56"/>
      <c r="AO154" s="56"/>
      <c r="AP154" s="56"/>
      <c r="AQ154" s="56"/>
      <c r="AR154" s="56"/>
      <c r="AS154" s="56"/>
      <c r="AT154" s="56"/>
      <c r="AU154" s="56"/>
      <c r="AV154" s="56"/>
      <c r="AW154" s="56"/>
      <c r="AX154" s="56"/>
      <c r="AY154" s="56"/>
      <c r="AZ154" s="56"/>
    </row>
    <row r="155" spans="1:53">
      <c r="A155" s="7"/>
      <c r="B155" s="2" t="s">
        <v>45</v>
      </c>
      <c r="C155" s="152">
        <f>簡易試算シート!D15</f>
        <v>0</v>
      </c>
      <c r="D155" s="11"/>
      <c r="E155" s="12" t="s">
        <v>22</v>
      </c>
      <c r="F155" s="13">
        <v>650999</v>
      </c>
      <c r="G155" s="155">
        <f>IF(AND(D155="",F155=""),0,IF(D155="",IF($H$153&lt;=F155,1,0),IF(F155="",IF($H$153&gt;=D155,1,0),IF(AND($H$153&gt;=D155,$H$153&lt;=F155),1,0))))</f>
        <v>1</v>
      </c>
      <c r="H155" s="159">
        <f>IF(G155=1,0,0)</f>
        <v>0</v>
      </c>
      <c r="I155" s="147"/>
      <c r="J155" s="216"/>
      <c r="K155" s="160"/>
      <c r="L155" s="157" t="s">
        <v>23</v>
      </c>
      <c r="M155" s="161"/>
      <c r="N155" s="155"/>
      <c r="O155" s="159"/>
      <c r="P155" s="147"/>
      <c r="Q155" s="216"/>
      <c r="R155" s="156"/>
      <c r="S155" s="157" t="s">
        <v>23</v>
      </c>
      <c r="T155" s="158"/>
      <c r="U155" s="155"/>
      <c r="V155" s="159"/>
      <c r="Y155" s="45"/>
      <c r="Z155" s="46" t="s">
        <v>49</v>
      </c>
      <c r="AA155" s="46" t="s">
        <v>50</v>
      </c>
      <c r="AB155" s="47" t="s">
        <v>51</v>
      </c>
      <c r="AC155" s="47" t="s">
        <v>52</v>
      </c>
      <c r="AD155" s="47" t="s">
        <v>53</v>
      </c>
      <c r="AE155" s="47" t="s">
        <v>54</v>
      </c>
      <c r="AF155" s="47" t="s">
        <v>55</v>
      </c>
      <c r="AG155" s="47" t="s">
        <v>56</v>
      </c>
      <c r="AH155" s="47" t="s">
        <v>57</v>
      </c>
      <c r="AI155" s="47" t="s">
        <v>58</v>
      </c>
      <c r="AJ155" s="47" t="s">
        <v>59</v>
      </c>
      <c r="AK155" s="47" t="s">
        <v>60</v>
      </c>
      <c r="AL155" s="47" t="s">
        <v>61</v>
      </c>
      <c r="AM155" s="47" t="s">
        <v>62</v>
      </c>
      <c r="AN155" s="47" t="s">
        <v>63</v>
      </c>
      <c r="AO155" s="47" t="s">
        <v>64</v>
      </c>
      <c r="AP155" s="222" t="s">
        <v>65</v>
      </c>
      <c r="AQ155" s="222"/>
      <c r="AR155" s="47"/>
      <c r="AS155" s="48" t="s">
        <v>66</v>
      </c>
      <c r="AT155" s="48" t="s">
        <v>67</v>
      </c>
      <c r="AU155" s="47"/>
      <c r="AV155" s="47"/>
      <c r="AW155" s="47"/>
      <c r="AX155" s="49" t="s">
        <v>68</v>
      </c>
      <c r="AY155" s="49" t="s">
        <v>69</v>
      </c>
      <c r="AZ155" s="49" t="s">
        <v>70</v>
      </c>
      <c r="BA155" s="176" t="s">
        <v>202</v>
      </c>
    </row>
    <row r="156" spans="1:53">
      <c r="A156" s="7"/>
      <c r="B156" s="2" t="s">
        <v>46</v>
      </c>
      <c r="C156" s="152">
        <f>簡易試算シート!E15</f>
        <v>0</v>
      </c>
      <c r="D156" s="11">
        <v>651000</v>
      </c>
      <c r="E156" s="12" t="s">
        <v>22</v>
      </c>
      <c r="F156" s="13">
        <v>1899999</v>
      </c>
      <c r="G156" s="155">
        <f>IF(AND(D156="",F156=""),0,IF(D156="",IF($H$153&lt;=F156,1,0),IF(F156="",IF($H$153&gt;=D156,1,0),IF(AND($H$153&gt;=D156,$H$153&lt;=F156),1,0))))</f>
        <v>0</v>
      </c>
      <c r="H156" s="167">
        <f>IF(G156=1,H153-650000,0)</f>
        <v>0</v>
      </c>
      <c r="I156" s="147"/>
      <c r="J156" s="216"/>
      <c r="K156" s="156"/>
      <c r="L156" s="157" t="s">
        <v>22</v>
      </c>
      <c r="M156" s="158">
        <v>1299999</v>
      </c>
      <c r="N156" s="155">
        <f>IF(AND(K156="",M156=""),0,IF(O152&gt;10000000,0,IF(K156="",IF(O153&lt;=M156,1,0),IF(M156="",IF(O153&gt;=K156,1,0),IF(AND(O153&gt;=K156,O153&lt;=M156),1,0)))))</f>
        <v>1</v>
      </c>
      <c r="O156" s="159">
        <f>IF(N156=1,IF(O153-600000&gt;0,O153-600000,0),0)</f>
        <v>0</v>
      </c>
      <c r="P156" s="147"/>
      <c r="Q156" s="216"/>
      <c r="R156" s="156"/>
      <c r="S156" s="157" t="s">
        <v>22</v>
      </c>
      <c r="T156" s="158">
        <v>3299999</v>
      </c>
      <c r="U156" s="155">
        <f>IF(AND(R156="",T156=""),0,IF(V152&gt;10000000,0,IF(R156="",IF(V153&lt;=T156,1,0),IF(T156="",IF(V153&gt;=R156,1,0),IF(AND(V153&gt;=R156,V153&lt;=T156),1,0)))))</f>
        <v>1</v>
      </c>
      <c r="V156" s="159">
        <f>IF(U156=1,IF(V153-1100000&gt;0,V153-1100000,0),0)</f>
        <v>0</v>
      </c>
      <c r="X156" t="s">
        <v>134</v>
      </c>
      <c r="Y156" s="50" t="s">
        <v>71</v>
      </c>
      <c r="Z156" s="51">
        <f>DATE(YEAR(C154)+40,MONTH(C154),DAY(C154))</f>
        <v>14610</v>
      </c>
      <c r="AA156" s="52">
        <f>DATE(YEAR(C154)+65,MONTH(C154),DAY(C154)-1)</f>
        <v>23741</v>
      </c>
      <c r="AB156" s="65">
        <f>IF(AND($Z156&lt;=AO$4,AO$3&lt;$AA156,AB157=1),1,IF(AND($Z156&lt;=AO$4,AO$3&lt;$AA156,AB157=2),2,0))</f>
        <v>0</v>
      </c>
      <c r="AC156" s="65">
        <f t="shared" ref="AC156" si="98">IF(AND($Z156&lt;=AP$4,AP$3&lt;$AA156,AC157=1),1,IF(AND($Z156&lt;=AP$4,AP$3&lt;$AA156,AC157=2),2,0))</f>
        <v>0</v>
      </c>
      <c r="AD156" s="65">
        <f t="shared" ref="AD156" si="99">IF(AND($Z156&lt;=AQ$4,AQ$3&lt;$AA156,AD157=1),1,IF(AND($Z156&lt;=AQ$4,AQ$3&lt;$AA156,AD157=2),2,0))</f>
        <v>0</v>
      </c>
      <c r="AE156" s="65">
        <f t="shared" ref="AE156" si="100">IF(AND($Z156&lt;=AR$4,AR$3&lt;$AA156,AE157=1),1,IF(AND($Z156&lt;=AR$4,AR$3&lt;$AA156,AE157=2),2,0))</f>
        <v>0</v>
      </c>
      <c r="AF156" s="65">
        <f t="shared" ref="AF156" si="101">IF(AND($Z156&lt;=AS$4,AS$3&lt;$AA156,AF157=1),1,IF(AND($Z156&lt;=AS$4,AS$3&lt;$AA156,AF157=2),2,0))</f>
        <v>0</v>
      </c>
      <c r="AG156" s="65">
        <f t="shared" ref="AG156" si="102">IF(AND($Z156&lt;=AT$4,AT$3&lt;$AA156,AG157=1),1,IF(AND($Z156&lt;=AT$4,AT$3&lt;$AA156,AG157=2),2,0))</f>
        <v>0</v>
      </c>
      <c r="AH156" s="65">
        <f t="shared" ref="AH156" si="103">IF(AND($Z156&lt;=AU$4,AU$3&lt;$AA156,AH157=1),1,IF(AND($Z156&lt;=AU$4,AU$3&lt;$AA156,AH157=2),2,0))</f>
        <v>0</v>
      </c>
      <c r="AI156" s="65">
        <f t="shared" ref="AI156" si="104">IF(AND($Z156&lt;=AV$4,AV$3&lt;$AA156,AI157=1),1,IF(AND($Z156&lt;=AV$4,AV$3&lt;$AA156,AI157=2),2,0))</f>
        <v>0</v>
      </c>
      <c r="AJ156" s="65">
        <f t="shared" ref="AJ156" si="105">IF(AND($Z156&lt;=AW$4,AW$3&lt;$AA156,AJ157=1),1,IF(AND($Z156&lt;=AW$4,AW$3&lt;$AA156,AJ157=2),2,0))</f>
        <v>0</v>
      </c>
      <c r="AK156" s="65">
        <f>IF(AND($Z156&lt;=AX$4,AX$3&lt;$AA156,AK157=1),1,IF(AND($Z156&lt;=AX$4,AX$3&lt;$AA156,AK157=2),2,0))</f>
        <v>0</v>
      </c>
      <c r="AL156" s="65">
        <f t="shared" ref="AL156" si="106">IF(AND($Z156&lt;=AY$4,AY$3&lt;$AA156,AL157=1),1,IF(AND($Z156&lt;=AY$4,AY$3&lt;$AA156,AL157=2),2,0))</f>
        <v>0</v>
      </c>
      <c r="AM156" s="65">
        <f t="shared" ref="AM156" si="107">IF(AND($Z156&lt;=AZ$4,AZ$3&lt;$AA156,AM157=1),1,IF(AND($Z156&lt;=AZ$4,AZ$3&lt;$AA156,AM157=2),2,0))</f>
        <v>0</v>
      </c>
      <c r="AN156" s="54">
        <f>COUNTIF(AB156:AM156,1)</f>
        <v>0</v>
      </c>
      <c r="AO156" s="55">
        <f>IF(AN156&gt;0,1,0)</f>
        <v>0</v>
      </c>
      <c r="AP156" s="20" t="s">
        <v>72</v>
      </c>
      <c r="AQ156" s="71"/>
      <c r="AR156" s="20" t="s">
        <v>73</v>
      </c>
      <c r="AS156" s="37">
        <f>H175</f>
        <v>0</v>
      </c>
      <c r="AT156" s="43">
        <f>MAX(IF(AND(Z159=1,Z160=0),AR160+AP159+AS158+IF(AS159&gt;150000,AS159-150000,0),IF(AND(Z159=1,Z160=1),AS160+AP159+AS158+IF(AS159&gt;150000,AS159-150000,0),0)),0)</f>
        <v>0</v>
      </c>
      <c r="AU156" s="56"/>
      <c r="AV156" s="56"/>
      <c r="AW156" s="57" t="s">
        <v>74</v>
      </c>
      <c r="AX156" s="75">
        <f>(AN157-AN159)/12*AU159*$AG$2</f>
        <v>0</v>
      </c>
      <c r="AY156" s="75">
        <f>(AN157-AN159)/12*AU159*$AH$2</f>
        <v>0</v>
      </c>
      <c r="AZ156" s="75">
        <f>IF(AO156=0,0,(AN156-AN158)/12*AU159*$AI$2)</f>
        <v>0</v>
      </c>
      <c r="BA156" s="181">
        <f>(AN157-AN159)/12*AU159*$AE$2</f>
        <v>0</v>
      </c>
    </row>
    <row r="157" spans="1:53">
      <c r="A157" s="7"/>
      <c r="B157" s="2" t="s">
        <v>47</v>
      </c>
      <c r="C157" s="152">
        <f>簡易試算シート!F15</f>
        <v>0</v>
      </c>
      <c r="D157" s="168"/>
      <c r="E157" s="169"/>
      <c r="F157" s="170"/>
      <c r="G157" s="171"/>
      <c r="H157" s="172"/>
      <c r="I157" s="147"/>
      <c r="J157" s="216"/>
      <c r="K157" s="156">
        <v>1300000</v>
      </c>
      <c r="L157" s="157" t="s">
        <v>22</v>
      </c>
      <c r="M157" s="158">
        <v>4099999</v>
      </c>
      <c r="N157" s="155">
        <f>IF(AND(K157="",M157=""),0,IF(O152&gt;10000000,0,IF(K157="",IF(O153&lt;=M157,1,0),IF(M157="",IF(O153&gt;=K157,1,0),IF(AND(O153&gt;=K157,O153&lt;=M157),1,0)))))</f>
        <v>0</v>
      </c>
      <c r="O157" s="159">
        <f>IF(N157=1,ROUNDDOWN(O153*0.75-275000,0),0)</f>
        <v>0</v>
      </c>
      <c r="P157" s="147"/>
      <c r="Q157" s="216"/>
      <c r="R157" s="156">
        <v>3300000</v>
      </c>
      <c r="S157" s="157" t="s">
        <v>22</v>
      </c>
      <c r="T157" s="158">
        <v>4099999</v>
      </c>
      <c r="U157" s="155">
        <f>IF(AND(R157="",T157=""),0,IF(V152&gt;10000000,0,IF(R157="",IF(V153&lt;=T157,1,0),IF(T157="",IF(V153&gt;=R157,1,0),IF(AND(V153&gt;=R157,V153&lt;=T157),1,0)))))</f>
        <v>0</v>
      </c>
      <c r="V157" s="159">
        <f>IF(U157=1,ROUNDDOWN(V153*0.75-275000,0),0)</f>
        <v>0</v>
      </c>
      <c r="Y157" s="50" t="s">
        <v>75</v>
      </c>
      <c r="Z157" s="56"/>
      <c r="AA157" s="56"/>
      <c r="AB157" s="53">
        <f>IF(C154=0,0,IF(C153="有",1,IF(C153="無",2,"有無要選択")))</f>
        <v>0</v>
      </c>
      <c r="AC157" s="53">
        <f>AB157</f>
        <v>0</v>
      </c>
      <c r="AD157" s="53">
        <f>AC157</f>
        <v>0</v>
      </c>
      <c r="AE157" s="53">
        <f t="shared" ref="AE157" si="108">AD157</f>
        <v>0</v>
      </c>
      <c r="AF157" s="53">
        <f t="shared" ref="AF157" si="109">AE157</f>
        <v>0</v>
      </c>
      <c r="AG157" s="53">
        <f t="shared" ref="AG157" si="110">AF157</f>
        <v>0</v>
      </c>
      <c r="AH157" s="53">
        <f t="shared" ref="AH157" si="111">AG157</f>
        <v>0</v>
      </c>
      <c r="AI157" s="53">
        <f t="shared" ref="AI157" si="112">AH157</f>
        <v>0</v>
      </c>
      <c r="AJ157" s="53">
        <f t="shared" ref="AJ157" si="113">AI157</f>
        <v>0</v>
      </c>
      <c r="AK157" s="53">
        <f t="shared" ref="AK157" si="114">AJ157</f>
        <v>0</v>
      </c>
      <c r="AL157" s="53">
        <f t="shared" ref="AL157" si="115">AK157</f>
        <v>0</v>
      </c>
      <c r="AM157" s="53">
        <f>AL157</f>
        <v>0</v>
      </c>
      <c r="AN157" s="54">
        <f>COUNTIF(AB157:AM157,1)</f>
        <v>0</v>
      </c>
      <c r="AO157" s="56"/>
      <c r="AP157" s="22" t="s">
        <v>76</v>
      </c>
      <c r="AQ157" s="72"/>
      <c r="AR157" s="36" t="s">
        <v>77</v>
      </c>
      <c r="AS157" s="35">
        <v>0</v>
      </c>
      <c r="AT157" s="24" t="s">
        <v>78</v>
      </c>
      <c r="AU157" s="42">
        <f>AP159+AP160+AS158+AS159</f>
        <v>0</v>
      </c>
      <c r="AV157" s="56"/>
      <c r="AW157" s="59" t="s">
        <v>79</v>
      </c>
      <c r="AX157" s="70"/>
      <c r="AY157" s="70"/>
      <c r="AZ157" s="70"/>
      <c r="BA157" s="182"/>
    </row>
    <row r="158" spans="1:53">
      <c r="A158" s="7"/>
      <c r="B158" s="16"/>
      <c r="C158" s="166"/>
      <c r="D158" s="168"/>
      <c r="E158" s="169"/>
      <c r="F158" s="170"/>
      <c r="G158" s="171"/>
      <c r="H158" s="172"/>
      <c r="I158" s="147"/>
      <c r="J158" s="216"/>
      <c r="K158" s="156">
        <v>4100000</v>
      </c>
      <c r="L158" s="157" t="s">
        <v>22</v>
      </c>
      <c r="M158" s="158">
        <v>7699999</v>
      </c>
      <c r="N158" s="155">
        <f>IF(AND(K158="",M158=""),0,IF(O152&gt;10000000,0,IF(K158="",IF(O153&lt;=M158,1,0),IF(M158="",IF(O153&gt;=K158,1,0),IF(AND(O153&gt;=K158,O153&lt;=M158),1,0)))))</f>
        <v>0</v>
      </c>
      <c r="O158" s="159">
        <f>IF(N158=1,ROUNDDOWN(O153*0.85-685000,0),0)</f>
        <v>0</v>
      </c>
      <c r="P158" s="147"/>
      <c r="Q158" s="216"/>
      <c r="R158" s="156">
        <v>4100000</v>
      </c>
      <c r="S158" s="157" t="s">
        <v>22</v>
      </c>
      <c r="T158" s="158">
        <v>7699999</v>
      </c>
      <c r="U158" s="155">
        <f>IF(AND(R158="",T158=""),0,IF(V152&gt;10000000,0,IF(R158="",IF(V153&lt;=T158,1,0),IF(T158="",IF(V153&gt;=R158,1,0),IF(AND(V153&gt;=R158,V153&lt;=T158),1,0)))))</f>
        <v>0</v>
      </c>
      <c r="V158" s="159">
        <f>IF(U158=1,ROUNDDOWN(V153*0.85-685000,0),0)</f>
        <v>0</v>
      </c>
      <c r="Y158" s="58" t="s">
        <v>80</v>
      </c>
      <c r="Z158" s="55">
        <f>IF(C154=0,0,IF($AB$1&lt;C154,0,DATEDIF(MIN(C154,DATE(YEAR($AB$1),1,1)),DATE(YEAR($AB$1),1,1),"y")))</f>
        <v>0</v>
      </c>
      <c r="AA158" s="59" t="s">
        <v>81</v>
      </c>
      <c r="AB158" s="60">
        <v>0</v>
      </c>
      <c r="AC158" s="60">
        <v>0</v>
      </c>
      <c r="AD158" s="60">
        <v>0</v>
      </c>
      <c r="AE158" s="60">
        <v>0</v>
      </c>
      <c r="AF158" s="60">
        <v>0</v>
      </c>
      <c r="AG158" s="60">
        <v>0</v>
      </c>
      <c r="AH158" s="60">
        <v>0</v>
      </c>
      <c r="AI158" s="60">
        <v>0</v>
      </c>
      <c r="AJ158" s="60">
        <v>0</v>
      </c>
      <c r="AK158" s="60">
        <v>0</v>
      </c>
      <c r="AL158" s="60">
        <v>0</v>
      </c>
      <c r="AM158" s="60">
        <v>0</v>
      </c>
      <c r="AN158" s="60">
        <v>0</v>
      </c>
      <c r="AO158" s="32" t="s">
        <v>82</v>
      </c>
      <c r="AP158" s="33"/>
      <c r="AQ158" s="221" t="s">
        <v>83</v>
      </c>
      <c r="AR158" s="221"/>
      <c r="AS158" s="38">
        <f>O175</f>
        <v>0</v>
      </c>
      <c r="AT158" s="32" t="s">
        <v>84</v>
      </c>
      <c r="AU158" s="33">
        <f>AS157+AP159+AS158+AS159</f>
        <v>0</v>
      </c>
      <c r="AV158" s="56"/>
      <c r="AW158" s="57" t="s">
        <v>85</v>
      </c>
      <c r="AX158" s="76">
        <f>IF(C153="無",0,IF(AN157=0,0,IF(AD160="0",$AG$3*AN157/12,IF($AV$201=0,$AG$3*AN157/12*5/10,$AG$3*AN157/12))))</f>
        <v>0</v>
      </c>
      <c r="AY158" s="76">
        <f>IF(C153="無",0,IF(AN157=0,0,IF(AD160="0",$AH$3*AN157/12,IF($AV$201=0,$AH$3*AN157/12*5/10,$AH$3*AN157/12))))</f>
        <v>0</v>
      </c>
      <c r="AZ158" s="175">
        <f>IF(C153="無",0,IF(AN156&gt;0,$AI$3*AN156/12,0))</f>
        <v>0</v>
      </c>
      <c r="BA158" s="181">
        <f>IF(AF160="1",0,IF(C153="無",0,IF(AN157=0,0,IF(AD160="0",$AE$3*AN157/12,IF($AV$201=0,$AE$3*AN157/12*5/10,$AE$3*AN157/12)))))</f>
        <v>0</v>
      </c>
    </row>
    <row r="159" spans="1:53" ht="33.75">
      <c r="A159" s="7"/>
      <c r="B159" s="16"/>
      <c r="C159" s="166"/>
      <c r="D159" s="168"/>
      <c r="E159" s="169"/>
      <c r="F159" s="170"/>
      <c r="G159" s="171"/>
      <c r="H159" s="172"/>
      <c r="I159" s="147"/>
      <c r="J159" s="216"/>
      <c r="K159" s="156">
        <v>7700000</v>
      </c>
      <c r="L159" s="157" t="s">
        <v>22</v>
      </c>
      <c r="M159" s="158">
        <v>9999999</v>
      </c>
      <c r="N159" s="155">
        <f>IF(AND(K159="",M159=""),0,IF(O152&gt;10000000,0,IF(K159="",IF(O153&lt;=M159,1,0),IF(M159="",IF(O153&gt;=K159,1,0),IF(AND(O153&gt;=K159,O153&lt;=M159),1,0)))))</f>
        <v>0</v>
      </c>
      <c r="O159" s="159">
        <f>IF(N159=1,ROUNDDOWN(O153*0.95-1455000,0),0)</f>
        <v>0</v>
      </c>
      <c r="P159" s="147"/>
      <c r="Q159" s="216"/>
      <c r="R159" s="156">
        <v>7700000</v>
      </c>
      <c r="S159" s="157" t="s">
        <v>22</v>
      </c>
      <c r="T159" s="158">
        <v>9999999</v>
      </c>
      <c r="U159" s="155">
        <f>IF(AND(R159="",T159=""),0,IF(V152&gt;10000000,0,IF(R159="",IF(V153&lt;=T159,1,0),IF(T159="",IF(V153&gt;=R159,1,0),IF(AND(V153&gt;=R159,V153&lt;=T159),1,0)))))</f>
        <v>0</v>
      </c>
      <c r="V159" s="159">
        <f>IF(U159=1,ROUNDDOWN(V153*0.95-1455000,0),0)</f>
        <v>0</v>
      </c>
      <c r="Y159" s="58" t="s">
        <v>86</v>
      </c>
      <c r="Z159" s="55">
        <f>IF(C154=0,0,1)</f>
        <v>0</v>
      </c>
      <c r="AA159" s="61" t="s">
        <v>87</v>
      </c>
      <c r="AB159" s="60">
        <v>0</v>
      </c>
      <c r="AC159" s="60">
        <v>0</v>
      </c>
      <c r="AD159" s="60">
        <v>0</v>
      </c>
      <c r="AE159" s="60">
        <v>0</v>
      </c>
      <c r="AF159" s="60">
        <v>0</v>
      </c>
      <c r="AG159" s="60">
        <v>0</v>
      </c>
      <c r="AH159" s="60">
        <v>0</v>
      </c>
      <c r="AI159" s="60">
        <v>0</v>
      </c>
      <c r="AJ159" s="60">
        <v>0</v>
      </c>
      <c r="AK159" s="60">
        <v>0</v>
      </c>
      <c r="AL159" s="60">
        <v>0</v>
      </c>
      <c r="AM159" s="60">
        <v>0</v>
      </c>
      <c r="AN159" s="60">
        <f>COUNTIF(AB159:AM159,1)</f>
        <v>0</v>
      </c>
      <c r="AO159" s="24" t="s">
        <v>88</v>
      </c>
      <c r="AP159" s="34">
        <f>C157</f>
        <v>0</v>
      </c>
      <c r="AQ159" s="221" t="s">
        <v>89</v>
      </c>
      <c r="AR159" s="221"/>
      <c r="AS159" s="39">
        <f>V175</f>
        <v>0</v>
      </c>
      <c r="AT159" s="24" t="s">
        <v>90</v>
      </c>
      <c r="AU159" s="41">
        <f>IF(C153="無",0,IF(AU157&lt;430000,0,AU157-430000))</f>
        <v>0</v>
      </c>
      <c r="AV159" s="56"/>
      <c r="AW159" s="79" t="s">
        <v>91</v>
      </c>
      <c r="AX159" s="78">
        <f>IF(C153="無",0,IF(AN157=0,0,IF(AD160="0",$AG$3*AN157/12,IF($AV$201=0,$AG$3*AN157/12*5/10,IF($AV$201=7,$AG$3*AN157/12*0.85,IF($AV$201=5,$AG$3*AN157/12*0.75,IF($AV$201=2,$AG$3*AN157/12*0.6,$AG$3*AN157/12)))))))</f>
        <v>0</v>
      </c>
      <c r="AY159" s="78">
        <f>IF(C153="無",0,IF(AN157=0,0,IF(AD160="0",$AH$3*AN157/12,IF($AV$201=0,$AH$3*AN157/12*5/10,IF($AV$201=7,$AH$3*AN157/12*0.85,IF($AV$201=5,$AH$3*AN157/12*0.75,IF($AV$201=2,$AH$3*AN157/12*0.6,$AH$3*AN157/12)))))))</f>
        <v>0</v>
      </c>
      <c r="AZ159" s="56" t="s">
        <v>203</v>
      </c>
      <c r="BA159" s="62" t="s">
        <v>203</v>
      </c>
    </row>
    <row r="160" spans="1:53" ht="33.75">
      <c r="A160" s="7"/>
      <c r="B160" s="16"/>
      <c r="C160" s="166"/>
      <c r="D160" s="168"/>
      <c r="E160" s="169"/>
      <c r="F160" s="170"/>
      <c r="G160" s="171"/>
      <c r="H160" s="172"/>
      <c r="I160" s="147"/>
      <c r="J160" s="216"/>
      <c r="K160" s="156">
        <v>10000000</v>
      </c>
      <c r="L160" s="157" t="s">
        <v>22</v>
      </c>
      <c r="M160" s="158"/>
      <c r="N160" s="155">
        <f>IF(AND(K160="",M160=""),0,IF(O152&gt;10000000,0,IF(K160="",IF(O153&lt;=M160,1,0),IF(M160="",IF(O153&gt;=K160,1,0),IF(AND(O153&gt;=K160,O153&lt;=M160),1,0)))))</f>
        <v>0</v>
      </c>
      <c r="O160" s="159">
        <f>IF(N160=1,O153-1955000,0)</f>
        <v>0</v>
      </c>
      <c r="P160" s="147"/>
      <c r="Q160" s="216"/>
      <c r="R160" s="156">
        <v>10000000</v>
      </c>
      <c r="S160" s="157" t="s">
        <v>22</v>
      </c>
      <c r="T160" s="158"/>
      <c r="U160" s="155">
        <f>IF(AND(R160="",T160=""),0,IF(V152&gt;10000000,0,IF(R160="",IF(V153&lt;=T160,1,0),IF(T160="",IF(V153&gt;=R160,1,0),IF(AND(V153&gt;=R160,V153&lt;=T160),1,0)))))</f>
        <v>0</v>
      </c>
      <c r="V160" s="159">
        <f>IF(U160=1,V153-1955000,0)</f>
        <v>0</v>
      </c>
      <c r="Y160" s="63" t="s">
        <v>92</v>
      </c>
      <c r="Z160" s="60">
        <v>0</v>
      </c>
      <c r="AA160" s="64" t="s">
        <v>93</v>
      </c>
      <c r="AB160" s="130">
        <f>IF(Z159=0,0,IF(H153&gt;550000,1,IF(O153&gt;600000,1,IF(V153&gt;1250000,1,0))))</f>
        <v>0</v>
      </c>
      <c r="AC160" s="77" t="s">
        <v>94</v>
      </c>
      <c r="AD160" s="66" t="str">
        <f>IF(C154&gt;=EDATE($AB$1,-72)+1,"1","0")</f>
        <v>0</v>
      </c>
      <c r="AE160" s="173" t="s">
        <v>201</v>
      </c>
      <c r="AF160" s="174" t="str">
        <f>IF(C154&gt;=EDATE($AB$1,-216)+1,"1","0")</f>
        <v>0</v>
      </c>
      <c r="AG160" s="56"/>
      <c r="AH160" s="56"/>
      <c r="AI160" s="56"/>
      <c r="AJ160" s="56"/>
      <c r="AK160" s="56"/>
      <c r="AL160" s="56"/>
      <c r="AM160" s="56"/>
      <c r="AN160" s="56"/>
      <c r="AO160" s="26" t="s">
        <v>95</v>
      </c>
      <c r="AP160" s="43">
        <f>IF(AND(AS156+AP158&gt;0,AS158+AS159&gt;0),IF(AS156+AP158+AS158+AS159&lt;=100000,AS156+AP158,AS156+AP158-(MIN(AS156+AP158,100000)+MIN(AS158+AS159,100000)-100000)),AS156+AP158)</f>
        <v>0</v>
      </c>
      <c r="AQ160" s="27" t="s">
        <v>96</v>
      </c>
      <c r="AR160" s="43">
        <f>IF(AND(AS156+AP158&gt;0,AS158+AS159-MIN(AS159,150000)&gt;0),IF(AS156+AP158+AS158+AS159-MIN(AS159,150000)&lt;=100000,AS156+AP158,AS156+AP158-(MIN(AS156+AP158,100000)+MIN(AS158+AS159-MIN(AS159,150000),100000)-100000)),AS156+AP158)</f>
        <v>0</v>
      </c>
      <c r="AS160" s="67">
        <f>IF(AND(AS156*30/100&gt;0,AS158+AS159-MIN(AS159,150000)&gt;0),IF(AS156*30/100+AS158+AS159-MIN(AS159,150000)&lt;=100000,AS156*30/100,AS156*30/100-(MIN(AS156*30/100,100000)+MIN(AS158+AS159-MIN(AS159,150000),100000)-100000)),AS156*30/100)</f>
        <v>0</v>
      </c>
      <c r="AT160" s="32" t="s">
        <v>97</v>
      </c>
      <c r="AU160" s="40">
        <f>IF(M160=99,0,IF(AU158&lt;430000,0,AU158-430000))</f>
        <v>0</v>
      </c>
      <c r="AV160" s="56"/>
      <c r="AW160" s="118" t="s">
        <v>163</v>
      </c>
      <c r="AX160" s="56">
        <f>IF($AV$201=0,AX158,IF(OR(C153="無",AN157=0),0,$AG$3*AN157/12*0.1*(10-$AV$201)*IF(AD160="1",0.5,1)))</f>
        <v>0</v>
      </c>
      <c r="AY160" s="56">
        <f>IF($AV$201=0,AY158,IF(OR(C153="無",AN157=0),0,$AH$3*AN157/12*0.1*(10-$AV$201)*IF(AD160="1",0.5,1)))</f>
        <v>0</v>
      </c>
      <c r="AZ160" s="180">
        <f>IF($AV$201=0,AZ158,IF(OR(C153="無",AN156=0),0,$AI$3*AN156/12*0.1*(10-$AV$201)))</f>
        <v>0</v>
      </c>
      <c r="BA160" s="181">
        <f>IF($AV$201=0,BA158,IF(OR(C153="無",AN157=0),0,$AE$3*AN157/12*0.1*(10-$AV$201)))</f>
        <v>0</v>
      </c>
    </row>
    <row r="161" spans="1:53" ht="14.25" thickBot="1">
      <c r="A161" s="7"/>
      <c r="B161" s="16"/>
      <c r="C161" s="166"/>
      <c r="D161" s="168"/>
      <c r="E161" s="169"/>
      <c r="F161" s="170"/>
      <c r="G161" s="171"/>
      <c r="H161" s="172"/>
      <c r="I161" s="147"/>
      <c r="J161" s="216"/>
      <c r="K161" s="156"/>
      <c r="L161" s="162" t="s">
        <v>25</v>
      </c>
      <c r="M161" s="158"/>
      <c r="N161" s="155"/>
      <c r="O161" s="159"/>
      <c r="P161" s="147"/>
      <c r="Q161" s="216"/>
      <c r="R161" s="156"/>
      <c r="S161" s="162" t="s">
        <v>25</v>
      </c>
      <c r="T161" s="158"/>
      <c r="U161" s="155"/>
      <c r="V161" s="159"/>
      <c r="Y161" s="68"/>
      <c r="Z161" s="69"/>
      <c r="AA161" s="69"/>
      <c r="AB161" s="69"/>
      <c r="AC161" s="69"/>
      <c r="AD161" s="69"/>
      <c r="AE161" s="69"/>
      <c r="AF161" s="69"/>
      <c r="AG161" s="69"/>
      <c r="AH161" s="69"/>
      <c r="AI161" s="69"/>
      <c r="AJ161" s="69"/>
      <c r="AK161" s="69"/>
      <c r="AL161" s="69"/>
      <c r="AM161" s="69"/>
      <c r="AN161" s="69"/>
      <c r="AO161" s="69"/>
      <c r="AP161" s="69"/>
      <c r="AQ161" s="69"/>
      <c r="AR161" s="69"/>
      <c r="AS161" s="69"/>
      <c r="AT161" s="69"/>
      <c r="AU161" s="69"/>
      <c r="AV161" s="69"/>
      <c r="AW161" s="69"/>
      <c r="AX161" s="69"/>
      <c r="AY161" s="69"/>
      <c r="AZ161" s="69"/>
      <c r="BA161" s="178"/>
    </row>
    <row r="162" spans="1:53">
      <c r="A162" s="7"/>
      <c r="B162" s="16"/>
      <c r="C162" s="166"/>
      <c r="D162" s="11">
        <v>1900000</v>
      </c>
      <c r="E162" s="157" t="s">
        <v>22</v>
      </c>
      <c r="F162" s="158">
        <v>3599999</v>
      </c>
      <c r="G162" s="155">
        <f>IF(AND(D162="",F162=""),0,IF(D162="",IF($H$153&lt;=F162,1,0),IF(F162="",IF($H$153&gt;=D162,1,0),IF(AND($H$153&gt;=D162,$H$153&lt;=F162),1,0))))</f>
        <v>0</v>
      </c>
      <c r="H162" s="163">
        <f>IF(G162=1,ROUNDDOWN(ROUNDDOWN(H153/4,-3)*2.8,0)-80000,0)</f>
        <v>0</v>
      </c>
      <c r="I162" s="147"/>
      <c r="J162" s="216"/>
      <c r="K162" s="156"/>
      <c r="L162" s="157" t="s">
        <v>22</v>
      </c>
      <c r="M162" s="158">
        <v>1299999</v>
      </c>
      <c r="N162" s="155">
        <f>IF(AND(K162="",M162=""),0,IF(O152&lt;=10000000,0,IF(O152&gt;20000000,0,IF(K162="",IF(O153&lt;=M162,1,0),IF(M162="",IF(O153&gt;=K162,1,0),IF(AND(O153&gt;=K162,O153&lt;=M162),1,0))))))</f>
        <v>0</v>
      </c>
      <c r="O162" s="159">
        <f>IF(N162=1,IF(O153-500000&gt;0,O153-500000,0),0)</f>
        <v>0</v>
      </c>
      <c r="P162" s="147"/>
      <c r="Q162" s="216"/>
      <c r="R162" s="156"/>
      <c r="S162" s="157" t="s">
        <v>22</v>
      </c>
      <c r="T162" s="158">
        <v>3299999</v>
      </c>
      <c r="U162" s="155">
        <f>IF(AND(R162="",T162=""),0,IF(V152&lt;=10000000,0,IF(V152&gt;20000000,0,IF(R162="",IF(V153&lt;=T162,1,0),IF(T162="",IF(V153&gt;=R162,1,0),IF(AND(V153&gt;=R162,V153&lt;=T162),1,0))))))</f>
        <v>0</v>
      </c>
      <c r="V162" s="159">
        <f>IF(U162=1,IF(V153-1000000&gt;0,V153-1000000,0),0)</f>
        <v>0</v>
      </c>
      <c r="Y162" s="7"/>
      <c r="Z162" s="7"/>
      <c r="AA162" s="7"/>
      <c r="AB162" s="7"/>
      <c r="AC162" s="7"/>
      <c r="AD162" s="7"/>
      <c r="AE162" s="7"/>
      <c r="AF162" s="7"/>
      <c r="AG162" s="7"/>
      <c r="AH162" s="7"/>
      <c r="AI162" s="7"/>
      <c r="AJ162" s="7"/>
      <c r="AK162" s="7"/>
      <c r="AL162" s="7"/>
      <c r="AM162" s="7"/>
      <c r="AN162" s="7"/>
      <c r="AO162" s="7"/>
      <c r="AP162" s="7"/>
      <c r="AQ162" s="7"/>
      <c r="AR162" s="7"/>
      <c r="AS162" s="7"/>
      <c r="AT162" s="7"/>
      <c r="AU162" s="7"/>
      <c r="AV162" s="7"/>
      <c r="AW162" s="7"/>
      <c r="AX162" s="7"/>
      <c r="AY162" s="7"/>
      <c r="AZ162" s="7"/>
    </row>
    <row r="163" spans="1:53">
      <c r="A163" s="7"/>
      <c r="B163" s="16"/>
      <c r="C163" s="166"/>
      <c r="D163" s="156">
        <v>3600000</v>
      </c>
      <c r="E163" s="157" t="s">
        <v>22</v>
      </c>
      <c r="F163" s="158">
        <v>6599999</v>
      </c>
      <c r="G163" s="155">
        <f t="shared" ref="G163:G174" si="116">IF(AND(D163="",F163=""),0,IF(D163="",IF($H$153&lt;=F163,1,0),IF(F163="",IF($H$153&gt;=D163,1,0),IF(AND($H$153&gt;=D163,$H$153&lt;=F163),1,0))))</f>
        <v>0</v>
      </c>
      <c r="H163" s="163">
        <f>IF(G163=1,ROUNDDOWN(ROUNDDOWN(H153/4,-3)*3.2,0)-440000,0)</f>
        <v>0</v>
      </c>
      <c r="I163" s="147"/>
      <c r="J163" s="216"/>
      <c r="K163" s="156">
        <v>1300000</v>
      </c>
      <c r="L163" s="157" t="s">
        <v>22</v>
      </c>
      <c r="M163" s="158">
        <v>4099999</v>
      </c>
      <c r="N163" s="155">
        <f>IF(AND(K163="",M163=""),0,IF(O152&lt;=10000000,0,IF(O152&gt;20000000,0,IF(K163="",IF(O153&lt;=M163,1,0),IF(M163="",IF(O153&gt;=K163,1,0),IF(AND(O153&gt;=K163,O153&lt;=M163),1,0))))))</f>
        <v>0</v>
      </c>
      <c r="O163" s="159">
        <f>IF(N163=1,ROUNDDOWN(O153*0.75-175000,0),0)</f>
        <v>0</v>
      </c>
      <c r="P163" s="147"/>
      <c r="Q163" s="216"/>
      <c r="R163" s="156">
        <v>3300000</v>
      </c>
      <c r="S163" s="157" t="s">
        <v>22</v>
      </c>
      <c r="T163" s="158">
        <v>4099999</v>
      </c>
      <c r="U163" s="155">
        <f>IF(AND(R163="",T163=""),0,IF(V152&lt;=10000000,0,IF(V152&gt;20000000,0,IF(R163="",IF(V153&lt;=T163,1,0),IF(T163="",IF(V153&gt;=R163,1,0),IF(AND(V153&gt;=R163,V153&lt;=T163),1,0))))))</f>
        <v>0</v>
      </c>
      <c r="V163" s="159">
        <f>IF(U163=1,ROUNDDOWN(V153*0.75-175000,0),0)</f>
        <v>0</v>
      </c>
      <c r="Y163" s="7"/>
      <c r="Z163" s="7"/>
      <c r="AA163" s="7"/>
      <c r="AB163" s="7"/>
      <c r="AC163" s="7"/>
      <c r="AD163" s="7"/>
      <c r="AE163" s="7"/>
      <c r="AF163" s="7"/>
      <c r="AG163" s="7"/>
      <c r="AH163" s="7"/>
      <c r="AI163" s="7"/>
      <c r="AJ163" s="7"/>
      <c r="AK163" s="7"/>
      <c r="AL163" s="7"/>
      <c r="AM163" s="7"/>
      <c r="AN163" s="7"/>
      <c r="AO163" s="7"/>
      <c r="AP163" s="7"/>
      <c r="AQ163" s="7"/>
      <c r="AR163" s="7"/>
      <c r="AS163" s="7"/>
      <c r="AT163" s="7"/>
      <c r="AU163" s="7"/>
      <c r="AV163" s="7"/>
      <c r="AW163" s="7"/>
      <c r="AX163" s="7"/>
      <c r="AY163" s="7"/>
      <c r="AZ163" s="7"/>
    </row>
    <row r="164" spans="1:53">
      <c r="A164" s="7"/>
      <c r="B164" s="16"/>
      <c r="C164" s="166"/>
      <c r="D164" s="156">
        <v>6600000</v>
      </c>
      <c r="E164" s="157" t="s">
        <v>22</v>
      </c>
      <c r="F164" s="158">
        <v>8499999</v>
      </c>
      <c r="G164" s="155">
        <f t="shared" si="116"/>
        <v>0</v>
      </c>
      <c r="H164" s="163">
        <f>IF(G164=1,ROUNDDOWN(H153*0.9-1100000,0),0)</f>
        <v>0</v>
      </c>
      <c r="I164" s="147"/>
      <c r="J164" s="216"/>
      <c r="K164" s="156">
        <v>4100000</v>
      </c>
      <c r="L164" s="157" t="s">
        <v>22</v>
      </c>
      <c r="M164" s="158">
        <v>7699999</v>
      </c>
      <c r="N164" s="155">
        <f>IF(AND(K164="",M164=""),0,IF(O152&lt;=10000000,0,IF(O152&gt;20000000,0,IF(K164="",IF(O153&lt;=M164,1,0),IF(M164="",IF(O153&gt;=K164,1,0),IF(AND(O153&gt;=K164,O153&lt;=M164),1,0))))))</f>
        <v>0</v>
      </c>
      <c r="O164" s="159">
        <f>IF(N164=1,ROUNDDOWN(O153*0.85-585000,0),0)</f>
        <v>0</v>
      </c>
      <c r="P164" s="147"/>
      <c r="Q164" s="216"/>
      <c r="R164" s="156">
        <v>4100000</v>
      </c>
      <c r="S164" s="157" t="s">
        <v>22</v>
      </c>
      <c r="T164" s="158">
        <v>7699999</v>
      </c>
      <c r="U164" s="155">
        <f>IF(AND(R164="",T164=""),0,IF(V152&lt;=10000000,0,IF(V152&gt;20000000,0,IF(R164="",IF(V153&lt;=T164,1,0),IF(T164="",IF(V153&gt;=R164,1,0),IF(AND(V153&gt;=R164,V153&lt;=T164),1,0))))))</f>
        <v>0</v>
      </c>
      <c r="V164" s="159">
        <f>IF(U164=1,ROUNDDOWN(V153*0.85-585000,0),0)</f>
        <v>0</v>
      </c>
      <c r="Y164" s="7"/>
      <c r="Z164" s="7"/>
      <c r="AA164" s="7"/>
      <c r="AB164" s="7"/>
      <c r="AC164" s="7"/>
      <c r="AD164" s="7"/>
      <c r="AE164" s="7"/>
      <c r="AF164" s="7"/>
      <c r="AG164" s="7"/>
      <c r="AH164" s="7"/>
      <c r="AI164" s="7"/>
      <c r="AJ164" s="7"/>
      <c r="AK164" s="7"/>
      <c r="AL164" s="7"/>
      <c r="AM164" s="7"/>
      <c r="AN164" s="7"/>
      <c r="AO164" s="7"/>
      <c r="AP164" s="7"/>
      <c r="AQ164" s="7"/>
      <c r="AR164" s="7"/>
      <c r="AS164" s="7"/>
      <c r="AT164" s="7"/>
      <c r="AU164" s="7"/>
      <c r="AV164" s="7"/>
      <c r="AW164" s="7"/>
      <c r="AX164" s="7"/>
      <c r="AY164" s="7"/>
      <c r="AZ164" s="7"/>
    </row>
    <row r="165" spans="1:53">
      <c r="A165" s="7"/>
      <c r="B165" s="16"/>
      <c r="C165" s="166"/>
      <c r="D165" s="156">
        <v>8500000</v>
      </c>
      <c r="E165" s="157" t="s">
        <v>22</v>
      </c>
      <c r="F165" s="158"/>
      <c r="G165" s="155">
        <f t="shared" si="116"/>
        <v>0</v>
      </c>
      <c r="H165" s="163">
        <f>IF(G165=1,H153-1950000,0)</f>
        <v>0</v>
      </c>
      <c r="I165" s="147"/>
      <c r="J165" s="216"/>
      <c r="K165" s="156">
        <v>7700000</v>
      </c>
      <c r="L165" s="157" t="s">
        <v>22</v>
      </c>
      <c r="M165" s="158">
        <v>9999999</v>
      </c>
      <c r="N165" s="155">
        <f>IF(AND(K165="",M165=""),0,IF(O152&lt;=10000000,0,IF(O152&gt;20000000,0,IF(K165="",IF(O153&lt;=M165,1,0),IF(M165="",IF(O153&gt;=K165,1,0),IF(AND(O153&gt;=K165,O153&lt;=M165),1,0))))))</f>
        <v>0</v>
      </c>
      <c r="O165" s="159">
        <f>IF(N165=1,ROUNDDOWN(O153*0.95-1355000,0),0)</f>
        <v>0</v>
      </c>
      <c r="P165" s="147"/>
      <c r="Q165" s="216"/>
      <c r="R165" s="156">
        <v>7700000</v>
      </c>
      <c r="S165" s="157" t="s">
        <v>22</v>
      </c>
      <c r="T165" s="158">
        <v>9999999</v>
      </c>
      <c r="U165" s="155">
        <f>IF(AND(R165="",T165=""),0,IF(V152&lt;=10000000,0,IF(V152&gt;20000000,0,IF(R165="",IF(V153&lt;=T165,1,0),IF(T165="",IF(V153&gt;=R165,1,0),IF(AND(V153&gt;=R165,V153&lt;=T165),1,0))))))</f>
        <v>0</v>
      </c>
      <c r="V165" s="159">
        <f>IF(U165=1,ROUNDDOWN(V153*0.95-1355000,0),0)</f>
        <v>0</v>
      </c>
      <c r="Y165" s="7"/>
      <c r="Z165" s="7"/>
      <c r="AA165" s="7"/>
      <c r="AB165" s="7"/>
      <c r="AC165" s="7"/>
      <c r="AD165" s="7"/>
      <c r="AE165" s="7"/>
      <c r="AF165" s="7"/>
      <c r="AG165" s="7"/>
      <c r="AH165" s="7"/>
      <c r="AI165" s="7"/>
      <c r="AJ165" s="7"/>
      <c r="AK165" s="7"/>
      <c r="AL165" s="7"/>
      <c r="AM165" s="7"/>
      <c r="AN165" s="7"/>
      <c r="AO165" s="7"/>
      <c r="AP165" s="7"/>
      <c r="AQ165" s="7"/>
      <c r="AR165" s="7"/>
      <c r="AS165" s="7"/>
      <c r="AT165" s="7"/>
      <c r="AU165" s="7"/>
      <c r="AV165" s="7"/>
      <c r="AW165" s="7"/>
      <c r="AX165" s="7"/>
      <c r="AY165" s="7"/>
      <c r="AZ165" s="7"/>
    </row>
    <row r="166" spans="1:53">
      <c r="A166" s="7"/>
      <c r="B166" s="16"/>
      <c r="C166" s="166"/>
      <c r="D166" s="156"/>
      <c r="E166" s="157" t="s">
        <v>22</v>
      </c>
      <c r="F166" s="158"/>
      <c r="G166" s="155">
        <f t="shared" si="116"/>
        <v>0</v>
      </c>
      <c r="H166" s="163"/>
      <c r="I166" s="147"/>
      <c r="J166" s="216"/>
      <c r="K166" s="156">
        <v>10000000</v>
      </c>
      <c r="L166" s="157" t="s">
        <v>22</v>
      </c>
      <c r="M166" s="158"/>
      <c r="N166" s="155">
        <f>IF(AND(K166="",M166=""),0,IF(O152&lt;=10000000,0,IF(O152&gt;20000000,0,IF(K166="",IF(O153&lt;=M166,1,0),IF(M166="",IF(O153&gt;=K166,1,0),IF(AND(O153&gt;=K166,O153&lt;=M166),1,0))))))</f>
        <v>0</v>
      </c>
      <c r="O166" s="159">
        <f>IF(N166=1,O153-1855000,0)</f>
        <v>0</v>
      </c>
      <c r="P166" s="147"/>
      <c r="Q166" s="216"/>
      <c r="R166" s="156">
        <v>10000000</v>
      </c>
      <c r="S166" s="157" t="s">
        <v>22</v>
      </c>
      <c r="T166" s="158"/>
      <c r="U166" s="155">
        <f>IF(AND(R166="",T166=""),0,IF(V152&lt;=10000000,0,IF(V152&gt;20000000,0,IF(R166="",IF(V153&lt;=T166,1,0),IF(T166="",IF(V153&gt;=R166,1,0),IF(AND(V153&gt;=R166,V153&lt;=T166),1,0))))))</f>
        <v>0</v>
      </c>
      <c r="V166" s="159">
        <f>IF(U166=1,V153-1855000,0)</f>
        <v>0</v>
      </c>
      <c r="Y166" s="7"/>
      <c r="Z166" s="7"/>
      <c r="AA166" s="7"/>
      <c r="AB166" s="7"/>
      <c r="AC166" s="7"/>
      <c r="AD166" s="7"/>
      <c r="AE166" s="7"/>
      <c r="AF166" s="7"/>
      <c r="AG166" s="7"/>
      <c r="AH166" s="7"/>
      <c r="AI166" s="7"/>
      <c r="AJ166" s="7"/>
      <c r="AK166" s="7"/>
      <c r="AL166" s="7"/>
      <c r="AM166" s="7"/>
      <c r="AN166" s="7"/>
      <c r="AO166" s="7"/>
      <c r="AP166" s="7"/>
      <c r="AQ166" s="7"/>
      <c r="AR166" s="7"/>
      <c r="AS166" s="7"/>
      <c r="AT166" s="7"/>
      <c r="AU166" s="7"/>
      <c r="AV166" s="7"/>
      <c r="AW166" s="7"/>
      <c r="AX166" s="7"/>
      <c r="AY166" s="7"/>
      <c r="AZ166" s="7"/>
    </row>
    <row r="167" spans="1:53">
      <c r="A167" s="7"/>
      <c r="B167" s="16"/>
      <c r="C167" s="166"/>
      <c r="D167" s="156"/>
      <c r="E167" s="157" t="s">
        <v>22</v>
      </c>
      <c r="F167" s="158"/>
      <c r="G167" s="155">
        <f t="shared" si="116"/>
        <v>0</v>
      </c>
      <c r="H167" s="163"/>
      <c r="I167" s="147"/>
      <c r="J167" s="216"/>
      <c r="K167" s="156"/>
      <c r="L167" s="162" t="s">
        <v>27</v>
      </c>
      <c r="M167" s="158"/>
      <c r="N167" s="155"/>
      <c r="O167" s="163"/>
      <c r="P167" s="147"/>
      <c r="Q167" s="216"/>
      <c r="R167" s="156"/>
      <c r="S167" s="162" t="s">
        <v>27</v>
      </c>
      <c r="T167" s="158"/>
      <c r="U167" s="155"/>
      <c r="V167" s="163"/>
      <c r="Y167" s="7"/>
      <c r="Z167" s="7"/>
      <c r="AA167" s="7"/>
      <c r="AB167" s="7"/>
      <c r="AC167" s="7"/>
      <c r="AD167" s="7"/>
      <c r="AE167" s="7"/>
      <c r="AF167" s="7"/>
      <c r="AG167" s="7"/>
      <c r="AH167" s="7"/>
      <c r="AI167" s="7"/>
      <c r="AJ167" s="7"/>
      <c r="AK167" s="7"/>
      <c r="AL167" s="7"/>
      <c r="AM167" s="7"/>
      <c r="AN167" s="7"/>
      <c r="AO167" s="7"/>
      <c r="AP167" s="7"/>
      <c r="AQ167" s="7"/>
      <c r="AR167" s="7"/>
      <c r="AS167" s="7"/>
      <c r="AT167" s="7"/>
      <c r="AU167" s="7"/>
      <c r="AV167" s="7"/>
      <c r="AW167" s="7"/>
      <c r="AX167" s="7"/>
      <c r="AY167" s="7"/>
      <c r="AZ167" s="7"/>
    </row>
    <row r="168" spans="1:53">
      <c r="A168" s="7"/>
      <c r="B168" s="16"/>
      <c r="C168" s="166"/>
      <c r="D168" s="156"/>
      <c r="E168" s="157" t="s">
        <v>22</v>
      </c>
      <c r="F168" s="158"/>
      <c r="G168" s="155">
        <f t="shared" si="116"/>
        <v>0</v>
      </c>
      <c r="H168" s="163"/>
      <c r="I168" s="147"/>
      <c r="J168" s="216"/>
      <c r="K168" s="156"/>
      <c r="L168" s="157" t="s">
        <v>22</v>
      </c>
      <c r="M168" s="158">
        <v>1299999</v>
      </c>
      <c r="N168" s="155">
        <f>IF(AND(K168="",M168=""),0,IF(O152&lt;=20000000,0,IF(K168="",IF(O153&lt;=M168,1,0),IF(M168="",IF(O153&gt;=K168,1,0),IF(AND(O153&gt;=K168,O153&lt;=M168),1,0)))))</f>
        <v>0</v>
      </c>
      <c r="O168" s="159">
        <f>IF(N168=1,IF(O153-400000&gt;0,O153-400000,0),0)</f>
        <v>0</v>
      </c>
      <c r="P168" s="147"/>
      <c r="Q168" s="216"/>
      <c r="R168" s="156"/>
      <c r="S168" s="157" t="s">
        <v>22</v>
      </c>
      <c r="T168" s="158">
        <v>3299999</v>
      </c>
      <c r="U168" s="155">
        <f>IF(AND(R168="",T168=""),0,IF(V152&lt;=20000000,0,IF(R168="",IF(V153&lt;=T168,1,0),IF(T168="",IF(V153&gt;=R168,1,0),IF(AND(V153&gt;=R168,V153&lt;=T168),1,0)))))</f>
        <v>0</v>
      </c>
      <c r="V168" s="159">
        <f>IF(U168=1,IF(V153-900000&gt;0,V153-900000,0),0)</f>
        <v>0</v>
      </c>
      <c r="Y168" s="7"/>
      <c r="Z168" s="7"/>
      <c r="AA168" s="7"/>
      <c r="AB168" s="7"/>
      <c r="AC168" s="7"/>
      <c r="AD168" s="7"/>
      <c r="AE168" s="7"/>
      <c r="AF168" s="7"/>
      <c r="AG168" s="7"/>
      <c r="AH168" s="7"/>
      <c r="AI168" s="7"/>
      <c r="AJ168" s="7"/>
      <c r="AK168" s="7"/>
      <c r="AL168" s="7"/>
      <c r="AM168" s="7"/>
      <c r="AN168" s="7"/>
      <c r="AO168" s="7"/>
      <c r="AP168" s="7"/>
      <c r="AQ168" s="7"/>
      <c r="AR168" s="7"/>
      <c r="AS168" s="7"/>
      <c r="AT168" s="7"/>
      <c r="AU168" s="7"/>
      <c r="AV168" s="7"/>
      <c r="AW168" s="7"/>
      <c r="AX168" s="7"/>
      <c r="AY168" s="7"/>
      <c r="AZ168" s="7"/>
    </row>
    <row r="169" spans="1:53">
      <c r="A169" s="7"/>
      <c r="B169" s="16"/>
      <c r="C169" s="166"/>
      <c r="D169" s="156"/>
      <c r="E169" s="157" t="s">
        <v>22</v>
      </c>
      <c r="F169" s="158"/>
      <c r="G169" s="155">
        <f t="shared" si="116"/>
        <v>0</v>
      </c>
      <c r="H169" s="163"/>
      <c r="I169" s="147"/>
      <c r="J169" s="216"/>
      <c r="K169" s="156">
        <v>1300000</v>
      </c>
      <c r="L169" s="157" t="s">
        <v>22</v>
      </c>
      <c r="M169" s="158">
        <v>4099999</v>
      </c>
      <c r="N169" s="155">
        <f>IF(AND(K169="",M169=""),0,IF(O152&lt;=20000000,0,IF(K169="",IF(O153&lt;=M169,1,0),IF(M169="",IF(O153&gt;=K169,1,0),IF(AND(O153&gt;=K169,O153&lt;=M169),1,0)))))</f>
        <v>0</v>
      </c>
      <c r="O169" s="159">
        <f>IF(N169=1,ROUNDDOWN(O153*0.75-75000,0),0)</f>
        <v>0</v>
      </c>
      <c r="P169" s="147"/>
      <c r="Q169" s="216"/>
      <c r="R169" s="156">
        <v>3300000</v>
      </c>
      <c r="S169" s="157" t="s">
        <v>22</v>
      </c>
      <c r="T169" s="158">
        <v>4099999</v>
      </c>
      <c r="U169" s="155">
        <f>IF(AND(R169="",T169=""),0,IF(V152&lt;=20000000,0,IF(R169="",IF(V153&lt;=T169,1,0),IF(T169="",IF(V153&gt;=R169,1,0),IF(AND(V153&gt;=R169,V153&lt;=T169),1,0)))))</f>
        <v>0</v>
      </c>
      <c r="V169" s="159">
        <f>IF(U169=1,ROUNDDOWN(V153*0.75-75000,0),0)</f>
        <v>0</v>
      </c>
      <c r="Y169" s="7"/>
      <c r="Z169" s="7"/>
      <c r="AA169" s="7"/>
      <c r="AB169" s="7"/>
      <c r="AC169" s="7"/>
      <c r="AD169" s="7"/>
      <c r="AE169" s="7"/>
      <c r="AF169" s="7"/>
      <c r="AG169" s="7"/>
      <c r="AH169" s="7"/>
      <c r="AI169" s="7"/>
      <c r="AJ169" s="7"/>
      <c r="AK169" s="7"/>
      <c r="AL169" s="7"/>
      <c r="AM169" s="7"/>
      <c r="AN169" s="7"/>
      <c r="AO169" s="7"/>
      <c r="AP169" s="7"/>
      <c r="AQ169" s="7"/>
      <c r="AR169" s="7"/>
      <c r="AS169" s="7"/>
      <c r="AT169" s="7"/>
      <c r="AU169" s="7"/>
      <c r="AV169" s="7"/>
      <c r="AW169" s="7"/>
      <c r="AX169" s="7"/>
      <c r="AY169" s="7"/>
      <c r="AZ169" s="7"/>
    </row>
    <row r="170" spans="1:53">
      <c r="A170" s="7"/>
      <c r="B170" s="16"/>
      <c r="C170" s="166"/>
      <c r="D170" s="156"/>
      <c r="E170" s="157" t="s">
        <v>22</v>
      </c>
      <c r="F170" s="158"/>
      <c r="G170" s="155">
        <f t="shared" si="116"/>
        <v>0</v>
      </c>
      <c r="H170" s="163"/>
      <c r="I170" s="147"/>
      <c r="J170" s="216"/>
      <c r="K170" s="156">
        <v>4100000</v>
      </c>
      <c r="L170" s="157" t="s">
        <v>22</v>
      </c>
      <c r="M170" s="158">
        <v>7699999</v>
      </c>
      <c r="N170" s="155">
        <f>IF(AND(K170="",M170=""),0,IF(O152&lt;=20000000,0,IF(K170="",IF(O153&lt;=M170,1,0),IF(M170="",IF(O153&gt;=K170,1,0),IF(AND(O153&gt;=K170,O153&lt;=M170),1,0)))))</f>
        <v>0</v>
      </c>
      <c r="O170" s="159">
        <f>IF(N170=1,ROUNDDOWN(O153*0.85-485000,0),0)</f>
        <v>0</v>
      </c>
      <c r="P170" s="147"/>
      <c r="Q170" s="216"/>
      <c r="R170" s="156">
        <v>4100000</v>
      </c>
      <c r="S170" s="157" t="s">
        <v>22</v>
      </c>
      <c r="T170" s="158">
        <v>7699999</v>
      </c>
      <c r="U170" s="155">
        <f>IF(AND(R170="",T170=""),0,IF(V152&lt;=20000000,0,IF(R170="",IF(V153&lt;=T170,1,0),IF(T170="",IF(V153&gt;=R170,1,0),IF(AND(V153&gt;=R170,V153&lt;=T170),1,0)))))</f>
        <v>0</v>
      </c>
      <c r="V170" s="159">
        <f>IF(U170=1,ROUNDDOWN(V153*0.85-485000,0),0)</f>
        <v>0</v>
      </c>
      <c r="Y170" s="7"/>
      <c r="Z170" s="7"/>
      <c r="AA170" s="7"/>
      <c r="AB170" s="7"/>
      <c r="AC170" s="7"/>
      <c r="AD170" s="7"/>
      <c r="AE170" s="7"/>
      <c r="AF170" s="7"/>
      <c r="AG170" s="7"/>
      <c r="AH170" s="7"/>
      <c r="AI170" s="7"/>
      <c r="AJ170" s="7"/>
      <c r="AK170" s="7"/>
      <c r="AL170" s="7"/>
      <c r="AM170" s="7"/>
      <c r="AN170" s="7"/>
      <c r="AO170" s="7"/>
      <c r="AP170" s="7"/>
      <c r="AQ170" s="7"/>
      <c r="AR170" s="7"/>
      <c r="AS170" s="7"/>
      <c r="AT170" s="7"/>
      <c r="AU170" s="7"/>
      <c r="AV170" s="7"/>
      <c r="AW170" s="7"/>
      <c r="AX170" s="7"/>
      <c r="AY170" s="7"/>
      <c r="AZ170" s="7"/>
    </row>
    <row r="171" spans="1:53">
      <c r="A171" s="7"/>
      <c r="B171" s="16"/>
      <c r="C171" s="166"/>
      <c r="D171" s="156"/>
      <c r="E171" s="157" t="s">
        <v>22</v>
      </c>
      <c r="F171" s="158"/>
      <c r="G171" s="155">
        <f t="shared" si="116"/>
        <v>0</v>
      </c>
      <c r="H171" s="163"/>
      <c r="I171" s="147"/>
      <c r="J171" s="216"/>
      <c r="K171" s="156">
        <v>7700000</v>
      </c>
      <c r="L171" s="157" t="s">
        <v>22</v>
      </c>
      <c r="M171" s="158">
        <v>9999999</v>
      </c>
      <c r="N171" s="155">
        <f>IF(AND(K171="",M171=""),0,IF(O152&lt;=20000000,0,IF(K171="",IF(O153&lt;=M171,1,0),IF(M171="",IF(O153&gt;=K171,1,0),IF(AND(O153&gt;=K171,O153&lt;=M171),1,0)))))</f>
        <v>0</v>
      </c>
      <c r="O171" s="159">
        <f>IF(N171=1,ROUNDDOWN(O153*0.95-1255000,0),0)</f>
        <v>0</v>
      </c>
      <c r="P171" s="147"/>
      <c r="Q171" s="216"/>
      <c r="R171" s="156">
        <v>7700000</v>
      </c>
      <c r="S171" s="157" t="s">
        <v>22</v>
      </c>
      <c r="T171" s="158">
        <v>9999999</v>
      </c>
      <c r="U171" s="155">
        <f>IF(AND(R171="",T171=""),0,IF(V152&lt;=20000000,0,IF(R171="",IF(V153&lt;=T171,1,0),IF(T171="",IF(V153&gt;=R171,1,0),IF(AND(V153&gt;=R171,V153&lt;=T171),1,0)))))</f>
        <v>0</v>
      </c>
      <c r="V171" s="159">
        <f>IF(U171=1,ROUNDDOWN(V153*0.95-1255000,0),0)</f>
        <v>0</v>
      </c>
      <c r="Y171" s="7"/>
      <c r="Z171" s="7"/>
      <c r="AA171" s="7"/>
      <c r="AB171" s="7"/>
      <c r="AC171" s="7"/>
      <c r="AD171" s="7"/>
      <c r="AE171" s="7"/>
      <c r="AF171" s="7"/>
      <c r="AG171" s="7"/>
      <c r="AH171" s="7"/>
      <c r="AI171" s="7"/>
      <c r="AJ171" s="7"/>
      <c r="AK171" s="7"/>
      <c r="AL171" s="7"/>
      <c r="AM171" s="7"/>
      <c r="AN171" s="7"/>
      <c r="AO171" s="7"/>
      <c r="AP171" s="7"/>
      <c r="AQ171" s="7"/>
      <c r="AR171" s="7"/>
      <c r="AS171" s="7"/>
      <c r="AT171" s="7"/>
      <c r="AU171" s="7"/>
      <c r="AV171" s="7"/>
      <c r="AW171" s="7"/>
      <c r="AX171" s="7"/>
      <c r="AY171" s="7"/>
      <c r="AZ171" s="7"/>
    </row>
    <row r="172" spans="1:53">
      <c r="A172" s="7"/>
      <c r="B172" s="16"/>
      <c r="C172" s="166"/>
      <c r="D172" s="156"/>
      <c r="E172" s="157" t="s">
        <v>22</v>
      </c>
      <c r="F172" s="158"/>
      <c r="G172" s="155">
        <f t="shared" si="116"/>
        <v>0</v>
      </c>
      <c r="H172" s="163"/>
      <c r="I172" s="147"/>
      <c r="J172" s="216"/>
      <c r="K172" s="156">
        <v>10000000</v>
      </c>
      <c r="L172" s="157" t="s">
        <v>22</v>
      </c>
      <c r="M172" s="158"/>
      <c r="N172" s="155">
        <f>IF(AND(K172="",M172=""),0,IF(O152&lt;=20000000,0,IF(K172="",IF(O153&lt;=M172,1,0),IF(M172="",IF(O153&gt;=K172,1,0),IF(AND(O153&gt;=K172,O153&lt;=M172),1,0)))))</f>
        <v>0</v>
      </c>
      <c r="O172" s="159">
        <f>IF(N172=1,O153-1755000,0)</f>
        <v>0</v>
      </c>
      <c r="P172" s="147"/>
      <c r="Q172" s="216"/>
      <c r="R172" s="156">
        <v>10000000</v>
      </c>
      <c r="S172" s="157" t="s">
        <v>22</v>
      </c>
      <c r="T172" s="158"/>
      <c r="U172" s="155">
        <f>IF(AND(R172="",T172=""),0,IF(V152&lt;=20000000,0,IF(R172="",IF(V153&lt;=T172,1,0),IF(T172="",IF(V153&gt;=R172,1,0),IF(AND(V153&gt;=R172,V153&lt;=T172),1,0)))))</f>
        <v>0</v>
      </c>
      <c r="V172" s="159">
        <f>IF(U172=1,V153-1755000,0)</f>
        <v>0</v>
      </c>
      <c r="Y172" s="7"/>
      <c r="Z172" s="7"/>
      <c r="AA172" s="7"/>
      <c r="AB172" s="7"/>
      <c r="AC172" s="7"/>
      <c r="AD172" s="7"/>
      <c r="AE172" s="7"/>
      <c r="AF172" s="7"/>
      <c r="AG172" s="7"/>
      <c r="AH172" s="7"/>
      <c r="AI172" s="7"/>
      <c r="AJ172" s="7"/>
      <c r="AK172" s="7"/>
      <c r="AL172" s="7"/>
      <c r="AM172" s="7"/>
      <c r="AN172" s="7"/>
      <c r="AO172" s="7"/>
      <c r="AP172" s="7"/>
      <c r="AQ172" s="7"/>
      <c r="AR172" s="7"/>
      <c r="AS172" s="7"/>
      <c r="AT172" s="7"/>
      <c r="AU172" s="7"/>
      <c r="AV172" s="7"/>
      <c r="AW172" s="7"/>
      <c r="AX172" s="7"/>
      <c r="AY172" s="7"/>
      <c r="AZ172" s="7"/>
    </row>
    <row r="173" spans="1:53">
      <c r="A173" s="7"/>
      <c r="B173" s="16"/>
      <c r="C173" s="166"/>
      <c r="D173" s="156"/>
      <c r="E173" s="157" t="s">
        <v>22</v>
      </c>
      <c r="F173" s="158"/>
      <c r="G173" s="155">
        <f t="shared" si="116"/>
        <v>0</v>
      </c>
      <c r="H173" s="159"/>
      <c r="I173" s="147"/>
      <c r="J173" s="216"/>
      <c r="K173" s="156"/>
      <c r="L173" s="157" t="s">
        <v>22</v>
      </c>
      <c r="M173" s="158"/>
      <c r="N173" s="155"/>
      <c r="O173" s="159"/>
      <c r="P173" s="147"/>
      <c r="Q173" s="216"/>
      <c r="R173" s="156"/>
      <c r="S173" s="157" t="s">
        <v>22</v>
      </c>
      <c r="T173" s="158"/>
      <c r="U173" s="155"/>
      <c r="V173" s="159"/>
      <c r="Y173" s="7"/>
      <c r="Z173" s="7"/>
      <c r="AA173" s="7"/>
      <c r="AB173" s="7"/>
      <c r="AC173" s="7"/>
      <c r="AD173" s="7"/>
      <c r="AE173" s="7"/>
      <c r="AF173" s="7"/>
      <c r="AG173" s="7"/>
      <c r="AH173" s="7"/>
      <c r="AI173" s="7"/>
      <c r="AJ173" s="7"/>
      <c r="AK173" s="7"/>
      <c r="AL173" s="7"/>
      <c r="AM173" s="7"/>
      <c r="AN173" s="7"/>
      <c r="AO173" s="7"/>
      <c r="AP173" s="7"/>
      <c r="AQ173" s="7"/>
      <c r="AR173" s="7"/>
      <c r="AS173" s="7"/>
      <c r="AT173" s="7"/>
      <c r="AU173" s="7"/>
      <c r="AV173" s="7"/>
      <c r="AW173" s="7"/>
      <c r="AX173" s="7"/>
      <c r="AY173" s="7"/>
      <c r="AZ173" s="7"/>
    </row>
    <row r="174" spans="1:53">
      <c r="A174" s="7"/>
      <c r="B174" s="16"/>
      <c r="C174" s="166"/>
      <c r="D174" s="156"/>
      <c r="E174" s="157" t="s">
        <v>22</v>
      </c>
      <c r="F174" s="158"/>
      <c r="G174" s="155">
        <f t="shared" si="116"/>
        <v>0</v>
      </c>
      <c r="H174" s="159"/>
      <c r="I174" s="147"/>
      <c r="J174" s="216"/>
      <c r="K174" s="156"/>
      <c r="L174" s="157" t="s">
        <v>22</v>
      </c>
      <c r="M174" s="158"/>
      <c r="N174" s="155"/>
      <c r="O174" s="159"/>
      <c r="P174" s="147"/>
      <c r="Q174" s="216"/>
      <c r="R174" s="156"/>
      <c r="S174" s="157" t="s">
        <v>22</v>
      </c>
      <c r="T174" s="158"/>
      <c r="U174" s="155"/>
      <c r="V174" s="159"/>
      <c r="Y174" s="7"/>
      <c r="Z174" s="7"/>
      <c r="AA174" s="7"/>
      <c r="AB174" s="7"/>
      <c r="AC174" s="7"/>
      <c r="AD174" s="7"/>
      <c r="AE174" s="7"/>
      <c r="AF174" s="7"/>
      <c r="AG174" s="7"/>
      <c r="AH174" s="7"/>
      <c r="AI174" s="7"/>
      <c r="AJ174" s="7"/>
      <c r="AK174" s="7"/>
      <c r="AL174" s="7"/>
      <c r="AM174" s="7"/>
      <c r="AN174" s="7"/>
      <c r="AO174" s="7"/>
      <c r="AP174" s="7"/>
      <c r="AQ174" s="7"/>
      <c r="AR174" s="7"/>
      <c r="AS174" s="7"/>
      <c r="AT174" s="7"/>
      <c r="AU174" s="7"/>
      <c r="AV174" s="7"/>
      <c r="AW174" s="7"/>
      <c r="AX174" s="7"/>
      <c r="AY174" s="7"/>
      <c r="AZ174" s="7"/>
    </row>
    <row r="175" spans="1:53">
      <c r="A175" s="7"/>
      <c r="B175" s="16"/>
      <c r="C175" s="212" t="s">
        <v>20</v>
      </c>
      <c r="D175" s="213"/>
      <c r="E175" s="213"/>
      <c r="F175" s="213"/>
      <c r="G175" s="213"/>
      <c r="H175" s="151">
        <f>SUM(H155:H174)</f>
        <v>0</v>
      </c>
      <c r="I175" s="147"/>
      <c r="J175" s="214" t="s">
        <v>21</v>
      </c>
      <c r="K175" s="215"/>
      <c r="L175" s="215"/>
      <c r="M175" s="215"/>
      <c r="N175" s="212"/>
      <c r="O175" s="151">
        <f>SUM(O155:O174)</f>
        <v>0</v>
      </c>
      <c r="P175" s="147"/>
      <c r="Q175" s="214" t="s">
        <v>21</v>
      </c>
      <c r="R175" s="215"/>
      <c r="S175" s="215"/>
      <c r="T175" s="215"/>
      <c r="U175" s="212"/>
      <c r="V175" s="151">
        <f>SUM(V155:V174)</f>
        <v>0</v>
      </c>
      <c r="Y175" s="7"/>
      <c r="Z175" s="7"/>
      <c r="AA175" s="7"/>
      <c r="AB175" s="7"/>
      <c r="AC175" s="7"/>
      <c r="AD175" s="7"/>
      <c r="AE175" s="7"/>
      <c r="AF175" s="7"/>
      <c r="AG175" s="7"/>
      <c r="AH175" s="7"/>
      <c r="AI175" s="7"/>
      <c r="AJ175" s="7"/>
      <c r="AK175" s="7"/>
      <c r="AL175" s="7"/>
      <c r="AM175" s="7"/>
      <c r="AN175" s="7"/>
      <c r="AO175" s="7"/>
      <c r="AP175" s="7"/>
      <c r="AQ175" s="7"/>
      <c r="AR175" s="7"/>
      <c r="AS175" s="7"/>
      <c r="AT175" s="7"/>
      <c r="AU175" s="7"/>
      <c r="AV175" s="7"/>
      <c r="AW175" s="7"/>
      <c r="AX175" s="7"/>
      <c r="AY175" s="7"/>
      <c r="AZ175" s="7"/>
    </row>
    <row r="176" spans="1:53">
      <c r="C176" s="164"/>
      <c r="D176" s="165"/>
      <c r="E176" s="165"/>
      <c r="F176" s="165"/>
      <c r="G176" s="165"/>
      <c r="H176" s="165"/>
      <c r="I176" s="165"/>
      <c r="J176" s="165"/>
      <c r="K176" s="165"/>
      <c r="L176" s="165"/>
      <c r="M176" s="165"/>
      <c r="N176" s="165"/>
      <c r="O176" s="165"/>
      <c r="P176" s="165"/>
      <c r="Q176" s="165"/>
      <c r="R176" s="165"/>
      <c r="S176" s="165"/>
      <c r="T176" s="165"/>
      <c r="U176" s="165"/>
      <c r="V176" s="165"/>
      <c r="Y176" s="7"/>
      <c r="Z176" s="7"/>
      <c r="AA176" s="7"/>
      <c r="AB176" s="7"/>
      <c r="AC176" s="7"/>
      <c r="AD176" s="7"/>
      <c r="AE176" s="7"/>
      <c r="AF176" s="7"/>
      <c r="AG176" s="7"/>
      <c r="AH176" s="7"/>
      <c r="AI176" s="7"/>
      <c r="AJ176" s="7"/>
      <c r="AK176" s="7"/>
      <c r="AL176" s="7"/>
      <c r="AM176" s="7"/>
      <c r="AN176" s="7"/>
      <c r="AO176" s="7"/>
      <c r="AP176" s="7"/>
      <c r="AQ176" s="7"/>
      <c r="AR176" s="7"/>
      <c r="AS176" s="7"/>
      <c r="AT176" s="7"/>
      <c r="AU176" s="7"/>
      <c r="AV176" s="7"/>
      <c r="AW176" s="7"/>
      <c r="AX176" s="7"/>
      <c r="AY176" s="7"/>
      <c r="AZ176" s="7"/>
    </row>
    <row r="177" spans="1:53">
      <c r="A177" s="7"/>
      <c r="B177" s="7" t="s">
        <v>28</v>
      </c>
      <c r="C177" s="144"/>
      <c r="D177" s="145" t="str">
        <f>IF(C179=0,"空欄",Z183)</f>
        <v>空欄</v>
      </c>
      <c r="E177" s="146" t="s">
        <v>29</v>
      </c>
      <c r="F177" s="146"/>
      <c r="G177" s="146"/>
      <c r="H177" s="146"/>
      <c r="I177" s="147"/>
      <c r="J177" s="147"/>
      <c r="K177" s="148" t="s">
        <v>14</v>
      </c>
      <c r="L177" s="147"/>
      <c r="M177" s="149"/>
      <c r="N177" s="150" t="s">
        <v>15</v>
      </c>
      <c r="O177" s="151">
        <f>H200+C182</f>
        <v>0</v>
      </c>
      <c r="P177" s="147"/>
      <c r="Q177" s="147"/>
      <c r="R177" s="147" t="s">
        <v>16</v>
      </c>
      <c r="S177" s="147"/>
      <c r="T177" s="149"/>
      <c r="U177" s="150" t="s">
        <v>15</v>
      </c>
      <c r="V177" s="151">
        <f>H200+C181</f>
        <v>0</v>
      </c>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6"/>
      <c r="AY177" s="56"/>
      <c r="AZ177" s="56"/>
    </row>
    <row r="178" spans="1:53" ht="13.5" customHeight="1">
      <c r="A178" s="7" t="s">
        <v>42</v>
      </c>
      <c r="B178" s="16"/>
      <c r="C178" s="152" t="s">
        <v>131</v>
      </c>
      <c r="D178" s="213" t="s">
        <v>17</v>
      </c>
      <c r="E178" s="213"/>
      <c r="F178" s="213"/>
      <c r="G178" s="213"/>
      <c r="H178" s="153">
        <f>C180</f>
        <v>0</v>
      </c>
      <c r="I178" s="147"/>
      <c r="J178" s="217" t="s">
        <v>33</v>
      </c>
      <c r="K178" s="213" t="s">
        <v>31</v>
      </c>
      <c r="L178" s="213"/>
      <c r="M178" s="213"/>
      <c r="N178" s="213"/>
      <c r="O178" s="154">
        <f>IF(D177&lt;65,C181,0)</f>
        <v>0</v>
      </c>
      <c r="P178" s="147"/>
      <c r="Q178" s="216" t="s">
        <v>34</v>
      </c>
      <c r="R178" s="213" t="s">
        <v>31</v>
      </c>
      <c r="S178" s="213"/>
      <c r="T178" s="213"/>
      <c r="U178" s="213"/>
      <c r="V178" s="154">
        <f>IF(D177&gt;=65,C181,0)</f>
        <v>0</v>
      </c>
      <c r="Y178" s="56"/>
      <c r="Z178" s="56"/>
      <c r="AA178" s="56"/>
      <c r="AB178" s="56"/>
      <c r="AC178" s="56"/>
      <c r="AD178" s="56"/>
      <c r="AE178" s="56"/>
      <c r="AF178" s="56"/>
      <c r="AG178" s="56"/>
      <c r="AH178" s="56"/>
      <c r="AI178" s="56"/>
      <c r="AJ178" s="56"/>
      <c r="AK178" s="56"/>
      <c r="AL178" s="56"/>
      <c r="AM178" s="56"/>
      <c r="AN178" s="56"/>
      <c r="AO178" s="56"/>
      <c r="AP178" s="56"/>
      <c r="AQ178" s="56"/>
      <c r="AR178" s="56"/>
      <c r="AS178" s="56"/>
      <c r="AT178" s="56"/>
      <c r="AU178" s="56"/>
      <c r="AV178" s="56"/>
      <c r="AW178" s="56"/>
      <c r="AX178" s="56"/>
      <c r="AY178" s="56"/>
      <c r="AZ178" s="56"/>
    </row>
    <row r="179" spans="1:53" ht="14.25" thickBot="1">
      <c r="A179" s="7"/>
      <c r="B179" s="2" t="s">
        <v>44</v>
      </c>
      <c r="C179" s="152">
        <f>簡易試算シート!C16</f>
        <v>0</v>
      </c>
      <c r="D179" s="215" t="s">
        <v>18</v>
      </c>
      <c r="E179" s="215"/>
      <c r="F179" s="212"/>
      <c r="G179" s="155" t="s">
        <v>19</v>
      </c>
      <c r="H179" s="155" t="s">
        <v>20</v>
      </c>
      <c r="I179" s="147"/>
      <c r="J179" s="216"/>
      <c r="K179" s="215" t="s">
        <v>18</v>
      </c>
      <c r="L179" s="215"/>
      <c r="M179" s="212"/>
      <c r="N179" s="155" t="s">
        <v>19</v>
      </c>
      <c r="O179" s="155" t="s">
        <v>20</v>
      </c>
      <c r="P179" s="147"/>
      <c r="Q179" s="216"/>
      <c r="R179" s="215"/>
      <c r="S179" s="215"/>
      <c r="T179" s="212"/>
      <c r="U179" s="155" t="s">
        <v>19</v>
      </c>
      <c r="V179" s="155" t="s">
        <v>21</v>
      </c>
      <c r="Y179" s="56"/>
      <c r="Z179" s="56"/>
      <c r="AA179" s="56"/>
      <c r="AB179" s="56"/>
      <c r="AC179" s="56"/>
      <c r="AD179" s="56"/>
      <c r="AE179" s="56"/>
      <c r="AF179" s="56"/>
      <c r="AG179" s="56"/>
      <c r="AH179" s="56"/>
      <c r="AI179" s="56"/>
      <c r="AJ179" s="56"/>
      <c r="AK179" s="56"/>
      <c r="AL179" s="56"/>
      <c r="AM179" s="56"/>
      <c r="AN179" s="56"/>
      <c r="AO179" s="56"/>
      <c r="AP179" s="56"/>
      <c r="AQ179" s="56"/>
      <c r="AR179" s="56"/>
      <c r="AS179" s="56"/>
      <c r="AT179" s="56"/>
      <c r="AU179" s="56"/>
      <c r="AV179" s="56"/>
      <c r="AW179" s="56"/>
      <c r="AX179" s="56"/>
      <c r="AY179" s="56"/>
      <c r="AZ179" s="56"/>
    </row>
    <row r="180" spans="1:53">
      <c r="A180" s="7"/>
      <c r="B180" s="2" t="s">
        <v>45</v>
      </c>
      <c r="C180" s="152">
        <f>簡易試算シート!D16</f>
        <v>0</v>
      </c>
      <c r="D180" s="11"/>
      <c r="E180" s="12" t="s">
        <v>22</v>
      </c>
      <c r="F180" s="13">
        <v>650999</v>
      </c>
      <c r="G180" s="155">
        <f>IF(AND(D180="",F180=""),0,IF(D180="",IF($H$178&lt;=F180,1,0),IF(F180="",IF($H$178&gt;=D180,1,0),IF(AND($H$178&gt;=D180,$H$178&lt;=F180),1,0))))</f>
        <v>1</v>
      </c>
      <c r="H180" s="159">
        <f>IF(G180=1,0,0)</f>
        <v>0</v>
      </c>
      <c r="I180" s="147"/>
      <c r="J180" s="216"/>
      <c r="K180" s="160"/>
      <c r="L180" s="157" t="s">
        <v>23</v>
      </c>
      <c r="M180" s="161"/>
      <c r="N180" s="155"/>
      <c r="O180" s="159"/>
      <c r="P180" s="147"/>
      <c r="Q180" s="216"/>
      <c r="R180" s="156"/>
      <c r="S180" s="157" t="s">
        <v>23</v>
      </c>
      <c r="T180" s="158"/>
      <c r="U180" s="155"/>
      <c r="V180" s="159"/>
      <c r="Y180" s="45"/>
      <c r="Z180" s="46" t="s">
        <v>49</v>
      </c>
      <c r="AA180" s="46" t="s">
        <v>50</v>
      </c>
      <c r="AB180" s="47" t="s">
        <v>51</v>
      </c>
      <c r="AC180" s="47" t="s">
        <v>52</v>
      </c>
      <c r="AD180" s="47" t="s">
        <v>53</v>
      </c>
      <c r="AE180" s="47" t="s">
        <v>54</v>
      </c>
      <c r="AF180" s="47" t="s">
        <v>55</v>
      </c>
      <c r="AG180" s="47" t="s">
        <v>56</v>
      </c>
      <c r="AH180" s="47" t="s">
        <v>57</v>
      </c>
      <c r="AI180" s="47" t="s">
        <v>58</v>
      </c>
      <c r="AJ180" s="47" t="s">
        <v>59</v>
      </c>
      <c r="AK180" s="47" t="s">
        <v>60</v>
      </c>
      <c r="AL180" s="47" t="s">
        <v>61</v>
      </c>
      <c r="AM180" s="47" t="s">
        <v>62</v>
      </c>
      <c r="AN180" s="47" t="s">
        <v>63</v>
      </c>
      <c r="AO180" s="47" t="s">
        <v>64</v>
      </c>
      <c r="AP180" s="222" t="s">
        <v>65</v>
      </c>
      <c r="AQ180" s="222"/>
      <c r="AR180" s="47"/>
      <c r="AS180" s="48" t="s">
        <v>66</v>
      </c>
      <c r="AT180" s="48" t="s">
        <v>67</v>
      </c>
      <c r="AU180" s="47"/>
      <c r="AV180" s="47"/>
      <c r="AW180" s="47"/>
      <c r="AX180" s="49" t="s">
        <v>68</v>
      </c>
      <c r="AY180" s="49" t="s">
        <v>69</v>
      </c>
      <c r="AZ180" s="49" t="s">
        <v>70</v>
      </c>
      <c r="BA180" s="176" t="s">
        <v>202</v>
      </c>
    </row>
    <row r="181" spans="1:53">
      <c r="A181" s="7"/>
      <c r="B181" s="2" t="s">
        <v>46</v>
      </c>
      <c r="C181" s="152">
        <f>簡易試算シート!E16</f>
        <v>0</v>
      </c>
      <c r="D181" s="11">
        <v>651000</v>
      </c>
      <c r="E181" s="12" t="s">
        <v>22</v>
      </c>
      <c r="F181" s="13">
        <v>1899999</v>
      </c>
      <c r="G181" s="155">
        <f>IF(AND(D181="",F181=""),0,IF(D181="",IF($H$178&lt;=F181,1,0),IF(F181="",IF($H$178&gt;=D181,1,0),IF(AND($H$178&gt;=D181,$H$178&lt;=F181),1,0))))</f>
        <v>0</v>
      </c>
      <c r="H181" s="167">
        <f>IF(G181=1,H178-650000,0)</f>
        <v>0</v>
      </c>
      <c r="I181" s="147"/>
      <c r="J181" s="216"/>
      <c r="K181" s="156"/>
      <c r="L181" s="157" t="s">
        <v>22</v>
      </c>
      <c r="M181" s="158">
        <v>1299999</v>
      </c>
      <c r="N181" s="155">
        <f>IF(AND(K181="",M181=""),0,IF(O177&gt;10000000,0,IF(K181="",IF(O178&lt;=M181,1,0),IF(M181="",IF(O178&gt;=K181,1,0),IF(AND(O178&gt;=K181,O178&lt;=M181),1,0)))))</f>
        <v>1</v>
      </c>
      <c r="O181" s="159">
        <f>IF(N181=1,IF(O178-600000&gt;0,O178-600000,0),0)</f>
        <v>0</v>
      </c>
      <c r="P181" s="147"/>
      <c r="Q181" s="216"/>
      <c r="R181" s="156"/>
      <c r="S181" s="157" t="s">
        <v>22</v>
      </c>
      <c r="T181" s="158">
        <v>3299999</v>
      </c>
      <c r="U181" s="155">
        <f>IF(AND(R181="",T181=""),0,IF(V177&gt;10000000,0,IF(R181="",IF(V178&lt;=T181,1,0),IF(T181="",IF(V178&gt;=R181,1,0),IF(AND(V178&gt;=R181,V178&lt;=T181),1,0)))))</f>
        <v>1</v>
      </c>
      <c r="V181" s="159">
        <f>IF(U181=1,IF(V178-1100000&gt;0,V178-1100000,0),0)</f>
        <v>0</v>
      </c>
      <c r="X181" t="s">
        <v>135</v>
      </c>
      <c r="Y181" s="50" t="s">
        <v>71</v>
      </c>
      <c r="Z181" s="51">
        <f>DATE(YEAR(C179)+40,MONTH(C179),DAY(C179))</f>
        <v>14610</v>
      </c>
      <c r="AA181" s="52">
        <f>DATE(YEAR(C179)+65,MONTH(C179),DAY(C179)-1)</f>
        <v>23741</v>
      </c>
      <c r="AB181" s="65">
        <f>IF(AND($Z181&lt;=AO$4,AO$3&lt;$AA181,AB182=1),1,IF(AND($Z181&lt;=AO$4,AO$3&lt;$AA181,AB182=2),2,0))</f>
        <v>0</v>
      </c>
      <c r="AC181" s="65">
        <f t="shared" ref="AC181" si="117">IF(AND($Z181&lt;=AP$4,AP$3&lt;$AA181,AC182=1),1,IF(AND($Z181&lt;=AP$4,AP$3&lt;$AA181,AC182=2),2,0))</f>
        <v>0</v>
      </c>
      <c r="AD181" s="65">
        <f t="shared" ref="AD181" si="118">IF(AND($Z181&lt;=AQ$4,AQ$3&lt;$AA181,AD182=1),1,IF(AND($Z181&lt;=AQ$4,AQ$3&lt;$AA181,AD182=2),2,0))</f>
        <v>0</v>
      </c>
      <c r="AE181" s="65">
        <f t="shared" ref="AE181" si="119">IF(AND($Z181&lt;=AR$4,AR$3&lt;$AA181,AE182=1),1,IF(AND($Z181&lt;=AR$4,AR$3&lt;$AA181,AE182=2),2,0))</f>
        <v>0</v>
      </c>
      <c r="AF181" s="65">
        <f t="shared" ref="AF181" si="120">IF(AND($Z181&lt;=AS$4,AS$3&lt;$AA181,AF182=1),1,IF(AND($Z181&lt;=AS$4,AS$3&lt;$AA181,AF182=2),2,0))</f>
        <v>0</v>
      </c>
      <c r="AG181" s="65">
        <f t="shared" ref="AG181" si="121">IF(AND($Z181&lt;=AT$4,AT$3&lt;$AA181,AG182=1),1,IF(AND($Z181&lt;=AT$4,AT$3&lt;$AA181,AG182=2),2,0))</f>
        <v>0</v>
      </c>
      <c r="AH181" s="65">
        <f t="shared" ref="AH181" si="122">IF(AND($Z181&lt;=AU$4,AU$3&lt;$AA181,AH182=1),1,IF(AND($Z181&lt;=AU$4,AU$3&lt;$AA181,AH182=2),2,0))</f>
        <v>0</v>
      </c>
      <c r="AI181" s="65">
        <f t="shared" ref="AI181" si="123">IF(AND($Z181&lt;=AV$4,AV$3&lt;$AA181,AI182=1),1,IF(AND($Z181&lt;=AV$4,AV$3&lt;$AA181,AI182=2),2,0))</f>
        <v>0</v>
      </c>
      <c r="AJ181" s="65">
        <f t="shared" ref="AJ181" si="124">IF(AND($Z181&lt;=AW$4,AW$3&lt;$AA181,AJ182=1),1,IF(AND($Z181&lt;=AW$4,AW$3&lt;$AA181,AJ182=2),2,0))</f>
        <v>0</v>
      </c>
      <c r="AK181" s="65">
        <f>IF(AND($Z181&lt;=AX$4,AX$3&lt;$AA181,AK182=1),1,IF(AND($Z181&lt;=AX$4,AX$3&lt;$AA181,AK182=2),2,0))</f>
        <v>0</v>
      </c>
      <c r="AL181" s="65">
        <f t="shared" ref="AL181" si="125">IF(AND($Z181&lt;=AY$4,AY$3&lt;$AA181,AL182=1),1,IF(AND($Z181&lt;=AY$4,AY$3&lt;$AA181,AL182=2),2,0))</f>
        <v>0</v>
      </c>
      <c r="AM181" s="65">
        <f t="shared" ref="AM181" si="126">IF(AND($Z181&lt;=AZ$4,AZ$3&lt;$AA181,AM182=1),1,IF(AND($Z181&lt;=AZ$4,AZ$3&lt;$AA181,AM182=2),2,0))</f>
        <v>0</v>
      </c>
      <c r="AN181" s="54">
        <f>COUNTIF(AB181:AM181,1)</f>
        <v>0</v>
      </c>
      <c r="AO181" s="55">
        <f>IF(AN181&gt;0,1,0)</f>
        <v>0</v>
      </c>
      <c r="AP181" s="20" t="s">
        <v>72</v>
      </c>
      <c r="AQ181" s="71"/>
      <c r="AR181" s="20" t="s">
        <v>73</v>
      </c>
      <c r="AS181" s="37">
        <f>H200</f>
        <v>0</v>
      </c>
      <c r="AT181" s="43">
        <f>MAX(IF(AND(Z184=1,Z185=0),AR185+AP184+AS183+IF(AS184&gt;150000,AS184-150000,0),IF(AND(Z184=1,Z185=1),AS185+AP184+AS183+IF(AS184&gt;150000,AS184-150000,0),0)),0)</f>
        <v>0</v>
      </c>
      <c r="AU181" s="56"/>
      <c r="AV181" s="56"/>
      <c r="AW181" s="57" t="s">
        <v>74</v>
      </c>
      <c r="AX181" s="75">
        <f>(AN182-AN184)/12*AU184*$AG$2</f>
        <v>0</v>
      </c>
      <c r="AY181" s="75">
        <f>(AN182-AN184)/12*AU184*$AH$2</f>
        <v>0</v>
      </c>
      <c r="AZ181" s="75">
        <f>IF(AO181=0,0,(AN181-AN183)/12*AU184*$AI$2)</f>
        <v>0</v>
      </c>
      <c r="BA181" s="181">
        <f>(AN182-AN184)/12*AU184*$AE$2</f>
        <v>0</v>
      </c>
    </row>
    <row r="182" spans="1:53">
      <c r="A182" s="7"/>
      <c r="B182" s="2" t="s">
        <v>47</v>
      </c>
      <c r="C182" s="152">
        <f>簡易試算シート!F16</f>
        <v>0</v>
      </c>
      <c r="D182" s="168"/>
      <c r="E182" s="169"/>
      <c r="F182" s="170"/>
      <c r="G182" s="171"/>
      <c r="H182" s="172"/>
      <c r="I182" s="147"/>
      <c r="J182" s="216"/>
      <c r="K182" s="156">
        <v>1300000</v>
      </c>
      <c r="L182" s="157" t="s">
        <v>22</v>
      </c>
      <c r="M182" s="158">
        <v>4099999</v>
      </c>
      <c r="N182" s="155">
        <f>IF(AND(K182="",M182=""),0,IF(O177&gt;10000000,0,IF(K182="",IF(O178&lt;=M182,1,0),IF(M182="",IF(O178&gt;=K182,1,0),IF(AND(O178&gt;=K182,O178&lt;=M182),1,0)))))</f>
        <v>0</v>
      </c>
      <c r="O182" s="159">
        <f>IF(N182=1,ROUNDDOWN(O178*0.75-275000,0),0)</f>
        <v>0</v>
      </c>
      <c r="P182" s="147"/>
      <c r="Q182" s="216"/>
      <c r="R182" s="156">
        <v>3300000</v>
      </c>
      <c r="S182" s="157" t="s">
        <v>22</v>
      </c>
      <c r="T182" s="158">
        <v>4099999</v>
      </c>
      <c r="U182" s="155">
        <f>IF(AND(R182="",T182=""),0,IF(V177&gt;10000000,0,IF(R182="",IF(V178&lt;=T182,1,0),IF(T182="",IF(V178&gt;=R182,1,0),IF(AND(V178&gt;=R182,V178&lt;=T182),1,0)))))</f>
        <v>0</v>
      </c>
      <c r="V182" s="159">
        <f>IF(U182=1,ROUNDDOWN(V178*0.75-275000,0),0)</f>
        <v>0</v>
      </c>
      <c r="Y182" s="50" t="s">
        <v>75</v>
      </c>
      <c r="Z182" s="56"/>
      <c r="AA182" s="56"/>
      <c r="AB182" s="53">
        <f>IF(C179=0,0,IF(C178="有",1,IF(C178="無",2,"有無要選択")))</f>
        <v>0</v>
      </c>
      <c r="AC182" s="53">
        <f>AB182</f>
        <v>0</v>
      </c>
      <c r="AD182" s="53">
        <f>AC182</f>
        <v>0</v>
      </c>
      <c r="AE182" s="53">
        <f t="shared" ref="AE182" si="127">AD182</f>
        <v>0</v>
      </c>
      <c r="AF182" s="53">
        <f t="shared" ref="AF182" si="128">AE182</f>
        <v>0</v>
      </c>
      <c r="AG182" s="53">
        <f t="shared" ref="AG182" si="129">AF182</f>
        <v>0</v>
      </c>
      <c r="AH182" s="53">
        <f t="shared" ref="AH182" si="130">AG182</f>
        <v>0</v>
      </c>
      <c r="AI182" s="53">
        <f t="shared" ref="AI182" si="131">AH182</f>
        <v>0</v>
      </c>
      <c r="AJ182" s="53">
        <f t="shared" ref="AJ182" si="132">AI182</f>
        <v>0</v>
      </c>
      <c r="AK182" s="53">
        <f t="shared" ref="AK182" si="133">AJ182</f>
        <v>0</v>
      </c>
      <c r="AL182" s="53">
        <f t="shared" ref="AL182" si="134">AK182</f>
        <v>0</v>
      </c>
      <c r="AM182" s="53">
        <f>AL182</f>
        <v>0</v>
      </c>
      <c r="AN182" s="54">
        <f>COUNTIF(AB182:AM182,1)</f>
        <v>0</v>
      </c>
      <c r="AO182" s="56"/>
      <c r="AP182" s="22" t="s">
        <v>76</v>
      </c>
      <c r="AQ182" s="72"/>
      <c r="AR182" s="36" t="s">
        <v>77</v>
      </c>
      <c r="AS182" s="35">
        <v>0</v>
      </c>
      <c r="AT182" s="24" t="s">
        <v>78</v>
      </c>
      <c r="AU182" s="42">
        <f>AP184+AP185+AS183+AS184</f>
        <v>0</v>
      </c>
      <c r="AV182" s="56"/>
      <c r="AW182" s="59" t="s">
        <v>79</v>
      </c>
      <c r="AX182" s="70"/>
      <c r="AY182" s="70"/>
      <c r="AZ182" s="70"/>
      <c r="BA182" s="182"/>
    </row>
    <row r="183" spans="1:53">
      <c r="A183" s="7"/>
      <c r="B183" s="16"/>
      <c r="C183" s="166"/>
      <c r="D183" s="168"/>
      <c r="E183" s="169"/>
      <c r="F183" s="170"/>
      <c r="G183" s="171"/>
      <c r="H183" s="172"/>
      <c r="I183" s="147"/>
      <c r="J183" s="216"/>
      <c r="K183" s="156">
        <v>4100000</v>
      </c>
      <c r="L183" s="157" t="s">
        <v>22</v>
      </c>
      <c r="M183" s="158">
        <v>7699999</v>
      </c>
      <c r="N183" s="155">
        <f>IF(AND(K183="",M183=""),0,IF(O177&gt;10000000,0,IF(K183="",IF(O178&lt;=M183,1,0),IF(M183="",IF(O178&gt;=K183,1,0),IF(AND(O178&gt;=K183,O178&lt;=M183),1,0)))))</f>
        <v>0</v>
      </c>
      <c r="O183" s="159">
        <f>IF(N183=1,ROUNDDOWN(O178*0.85-685000,0),0)</f>
        <v>0</v>
      </c>
      <c r="P183" s="147"/>
      <c r="Q183" s="216"/>
      <c r="R183" s="156">
        <v>4100000</v>
      </c>
      <c r="S183" s="157" t="s">
        <v>22</v>
      </c>
      <c r="T183" s="158">
        <v>7699999</v>
      </c>
      <c r="U183" s="155">
        <f>IF(AND(R183="",T183=""),0,IF(V177&gt;10000000,0,IF(R183="",IF(V178&lt;=T183,1,0),IF(T183="",IF(V178&gt;=R183,1,0),IF(AND(V178&gt;=R183,V178&lt;=T183),1,0)))))</f>
        <v>0</v>
      </c>
      <c r="V183" s="159">
        <f>IF(U183=1,ROUNDDOWN(V178*0.85-685000,0),0)</f>
        <v>0</v>
      </c>
      <c r="Y183" s="58" t="s">
        <v>80</v>
      </c>
      <c r="Z183" s="55">
        <f>IF(C179=0,0,IF($AB$1&lt;C179,0,DATEDIF(MIN(C179,DATE(YEAR($AB$1),1,1)),DATE(YEAR($AB$1),1,1),"y")))</f>
        <v>0</v>
      </c>
      <c r="AA183" s="59" t="s">
        <v>81</v>
      </c>
      <c r="AB183" s="60">
        <v>0</v>
      </c>
      <c r="AC183" s="60">
        <v>0</v>
      </c>
      <c r="AD183" s="60">
        <v>0</v>
      </c>
      <c r="AE183" s="60">
        <v>0</v>
      </c>
      <c r="AF183" s="60">
        <v>0</v>
      </c>
      <c r="AG183" s="60">
        <v>0</v>
      </c>
      <c r="AH183" s="60">
        <v>0</v>
      </c>
      <c r="AI183" s="60">
        <v>0</v>
      </c>
      <c r="AJ183" s="60">
        <v>0</v>
      </c>
      <c r="AK183" s="60">
        <v>0</v>
      </c>
      <c r="AL183" s="60">
        <v>0</v>
      </c>
      <c r="AM183" s="60">
        <v>0</v>
      </c>
      <c r="AN183" s="60">
        <v>0</v>
      </c>
      <c r="AO183" s="32" t="s">
        <v>82</v>
      </c>
      <c r="AP183" s="33"/>
      <c r="AQ183" s="221" t="s">
        <v>83</v>
      </c>
      <c r="AR183" s="221"/>
      <c r="AS183" s="38">
        <f>O200</f>
        <v>0</v>
      </c>
      <c r="AT183" s="32" t="s">
        <v>84</v>
      </c>
      <c r="AU183" s="33">
        <f>AS182+AP184+AS183+AS184</f>
        <v>0</v>
      </c>
      <c r="AV183" s="56"/>
      <c r="AW183" s="57" t="s">
        <v>85</v>
      </c>
      <c r="AX183" s="76">
        <f>IF(C178="無",0,IF(AN182=0,0,IF(AD185="0",$AG$3*AN182/12,IF($AV$201=0,$AG$3*AN182/12*5/10,$AG$3*AN182/12))))</f>
        <v>0</v>
      </c>
      <c r="AY183" s="76">
        <f>IF(C178="無",0,IF(AN182=0,0,IF(AD185="0",$AH$3*AN182/12,IF($AV$201=0,$AH$3*AN182/12*5/10,$AH$3*AN182/12))))</f>
        <v>0</v>
      </c>
      <c r="AZ183" s="175">
        <f>IF(C178="無",0,IF(AN181&gt;0,$AI$3*AN181/12,0))</f>
        <v>0</v>
      </c>
      <c r="BA183" s="181">
        <f>IF(AF185="1",0,IF(C178="無",0,IF(AN182=0,0,IF(AD185="0",$AE$3*AN182/12,IF($AV$201=0,$AE$3*AN182/12*5/10,$AE$3*AN182/12)))))</f>
        <v>0</v>
      </c>
    </row>
    <row r="184" spans="1:53" ht="33.75">
      <c r="A184" s="7"/>
      <c r="B184" s="16"/>
      <c r="C184" s="166"/>
      <c r="D184" s="168"/>
      <c r="E184" s="169"/>
      <c r="F184" s="170"/>
      <c r="G184" s="171"/>
      <c r="H184" s="172"/>
      <c r="I184" s="147"/>
      <c r="J184" s="216"/>
      <c r="K184" s="156">
        <v>7700000</v>
      </c>
      <c r="L184" s="157" t="s">
        <v>22</v>
      </c>
      <c r="M184" s="158">
        <v>9999999</v>
      </c>
      <c r="N184" s="155">
        <f>IF(AND(K184="",M184=""),0,IF(O177&gt;10000000,0,IF(K184="",IF(O178&lt;=M184,1,0),IF(M184="",IF(O178&gt;=K184,1,0),IF(AND(O178&gt;=K184,O178&lt;=M184),1,0)))))</f>
        <v>0</v>
      </c>
      <c r="O184" s="159">
        <f>IF(N184=1,ROUNDDOWN(O178*0.95-1455000,0),0)</f>
        <v>0</v>
      </c>
      <c r="P184" s="147"/>
      <c r="Q184" s="216"/>
      <c r="R184" s="156">
        <v>7700000</v>
      </c>
      <c r="S184" s="157" t="s">
        <v>22</v>
      </c>
      <c r="T184" s="158">
        <v>9999999</v>
      </c>
      <c r="U184" s="155">
        <f>IF(AND(R184="",T184=""),0,IF(V177&gt;10000000,0,IF(R184="",IF(V178&lt;=T184,1,0),IF(T184="",IF(V178&gt;=R184,1,0),IF(AND(V178&gt;=R184,V178&lt;=T184),1,0)))))</f>
        <v>0</v>
      </c>
      <c r="V184" s="159">
        <f>IF(U184=1,ROUNDDOWN(V178*0.95-1455000,0),0)</f>
        <v>0</v>
      </c>
      <c r="Y184" s="58" t="s">
        <v>86</v>
      </c>
      <c r="Z184" s="55">
        <f>IF(C179=0,0,1)</f>
        <v>0</v>
      </c>
      <c r="AA184" s="61" t="s">
        <v>87</v>
      </c>
      <c r="AB184" s="60">
        <v>0</v>
      </c>
      <c r="AC184" s="60">
        <v>0</v>
      </c>
      <c r="AD184" s="60">
        <v>0</v>
      </c>
      <c r="AE184" s="60">
        <v>0</v>
      </c>
      <c r="AF184" s="60">
        <v>0</v>
      </c>
      <c r="AG184" s="60">
        <v>0</v>
      </c>
      <c r="AH184" s="60">
        <v>0</v>
      </c>
      <c r="AI184" s="60">
        <v>0</v>
      </c>
      <c r="AJ184" s="60">
        <v>0</v>
      </c>
      <c r="AK184" s="60">
        <v>0</v>
      </c>
      <c r="AL184" s="60">
        <v>0</v>
      </c>
      <c r="AM184" s="60">
        <v>0</v>
      </c>
      <c r="AN184" s="60">
        <f>COUNTIF(AB184:AM184,1)</f>
        <v>0</v>
      </c>
      <c r="AO184" s="24" t="s">
        <v>88</v>
      </c>
      <c r="AP184" s="34">
        <f>C182</f>
        <v>0</v>
      </c>
      <c r="AQ184" s="221" t="s">
        <v>89</v>
      </c>
      <c r="AR184" s="221"/>
      <c r="AS184" s="39">
        <f>V200</f>
        <v>0</v>
      </c>
      <c r="AT184" s="24" t="s">
        <v>90</v>
      </c>
      <c r="AU184" s="41">
        <f>IF(C178="無",0,IF(AU182&lt;430000,0,AU182-430000))</f>
        <v>0</v>
      </c>
      <c r="AV184" s="56"/>
      <c r="AW184" s="79" t="s">
        <v>91</v>
      </c>
      <c r="AX184" s="78">
        <f>IF(C178="無",0,IF(AN182=0,0,IF(AD185="0",$AG$3*AN182/12,IF($AV$201=0,$AG$3*AN182/12*5/10,IF($AV$201=7,$AG$3*AN182/12*0.85,IF($AV$201=5,$AG$3*AN182/12*0.75,IF($AV$201=2,$AG$3*AN182/12*0.6,$AG$3*AN182/12)))))))</f>
        <v>0</v>
      </c>
      <c r="AY184" s="78">
        <f>IF(C178="無",0,IF(AN182=0,0,IF(AD185="0",$AH$3*AN182/12,IF($AV$201=0,$AH$3*AN182/12*5/10,IF($AV$201=7,$AH$3*AN182/12*0.85,IF($AV$201=5,$AH$3*AN182/12*0.75,IF($AV$201=2,$AH$3*AN182/12*0.6,$AH$3*AN182/12)))))))</f>
        <v>0</v>
      </c>
      <c r="AZ184" s="56" t="s">
        <v>203</v>
      </c>
      <c r="BA184" s="62" t="s">
        <v>203</v>
      </c>
    </row>
    <row r="185" spans="1:53" ht="33.75">
      <c r="A185" s="7"/>
      <c r="B185" s="16"/>
      <c r="C185" s="166"/>
      <c r="D185" s="168"/>
      <c r="E185" s="169"/>
      <c r="F185" s="170"/>
      <c r="G185" s="171"/>
      <c r="H185" s="172"/>
      <c r="I185" s="147"/>
      <c r="J185" s="216"/>
      <c r="K185" s="156">
        <v>10000000</v>
      </c>
      <c r="L185" s="157" t="s">
        <v>22</v>
      </c>
      <c r="M185" s="158"/>
      <c r="N185" s="155">
        <f>IF(AND(K185="",M185=""),0,IF(O177&gt;10000000,0,IF(K185="",IF(O178&lt;=M185,1,0),IF(M185="",IF(O178&gt;=K185,1,0),IF(AND(O178&gt;=K185,O178&lt;=M185),1,0)))))</f>
        <v>0</v>
      </c>
      <c r="O185" s="159">
        <f>IF(N185=1,O178-1955000,0)</f>
        <v>0</v>
      </c>
      <c r="P185" s="147"/>
      <c r="Q185" s="216"/>
      <c r="R185" s="156">
        <v>10000000</v>
      </c>
      <c r="S185" s="157" t="s">
        <v>22</v>
      </c>
      <c r="T185" s="158"/>
      <c r="U185" s="155">
        <f>IF(AND(R185="",T185=""),0,IF(V177&gt;10000000,0,IF(R185="",IF(V178&lt;=T185,1,0),IF(T185="",IF(V178&gt;=R185,1,0),IF(AND(V178&gt;=R185,V178&lt;=T185),1,0)))))</f>
        <v>0</v>
      </c>
      <c r="V185" s="159">
        <f>IF(U185=1,V178-1955000,0)</f>
        <v>0</v>
      </c>
      <c r="Y185" s="63" t="s">
        <v>92</v>
      </c>
      <c r="Z185" s="60">
        <v>0</v>
      </c>
      <c r="AA185" s="64" t="s">
        <v>93</v>
      </c>
      <c r="AB185" s="130">
        <f>IF(Z184=0,0,IF(H178&gt;550000,1,IF(O178&gt;600000,1,IF(V178&gt;1250000,1,0))))</f>
        <v>0</v>
      </c>
      <c r="AC185" s="77" t="s">
        <v>94</v>
      </c>
      <c r="AD185" s="66" t="str">
        <f>IF(C179&gt;=EDATE($AB$1,-72)+1,"1","0")</f>
        <v>0</v>
      </c>
      <c r="AE185" s="173" t="s">
        <v>201</v>
      </c>
      <c r="AF185" s="174" t="str">
        <f>IF(C179&gt;=EDATE($AB$1,-216)+1,"1","0")</f>
        <v>0</v>
      </c>
      <c r="AG185" s="56"/>
      <c r="AH185" s="56"/>
      <c r="AI185" s="56"/>
      <c r="AJ185" s="56"/>
      <c r="AK185" s="56"/>
      <c r="AL185" s="56"/>
      <c r="AM185" s="56"/>
      <c r="AN185" s="56"/>
      <c r="AO185" s="26" t="s">
        <v>95</v>
      </c>
      <c r="AP185" s="43">
        <f>IF(AND(AS181+AP183&gt;0,AS183+AS184&gt;0),IF(AS181+AP183+AS183+AS184&lt;=100000,AS181+AP183,AS181+AP183-(MIN(AS181+AP183,100000)+MIN(AS183+AS184,100000)-100000)),AS181+AP183)</f>
        <v>0</v>
      </c>
      <c r="AQ185" s="27" t="s">
        <v>96</v>
      </c>
      <c r="AR185" s="43">
        <f>IF(AND(AS181+AP183&gt;0,AS183+AS184-MIN(AS184,150000)&gt;0),IF(AS181+AP183+AS183+AS184-MIN(AS184,150000)&lt;=100000,AS181+AP183,AS181+AP183-(MIN(AS181+AP183,100000)+MIN(AS183+AS184-MIN(AS184,150000),100000)-100000)),AS181+AP183)</f>
        <v>0</v>
      </c>
      <c r="AS185" s="67">
        <f>IF(AND(AS181*30/100&gt;0,AS183+AS184-MIN(AS184,150000)&gt;0),IF(AS181*30/100+AS183+AS184-MIN(AS184,150000)&lt;=100000,AS181*30/100,AS181*30/100-(MIN(AS181*30/100,100000)+MIN(AS183+AS184-MIN(AS184,150000),100000)-100000)),AS181*30/100)</f>
        <v>0</v>
      </c>
      <c r="AT185" s="32" t="s">
        <v>97</v>
      </c>
      <c r="AU185" s="40">
        <f>IF(M185=99,0,IF(AU183&lt;430000,0,AU183-430000))</f>
        <v>0</v>
      </c>
      <c r="AV185" s="56"/>
      <c r="AW185" s="118" t="s">
        <v>163</v>
      </c>
      <c r="AX185" s="56">
        <f>IF($AV$201=0,AX183,IF(OR(C178="無",AN182=0),0,$AG$3*AN182/12*0.1*(10-$AV$201)*IF(AD185="1",0.5,1)))</f>
        <v>0</v>
      </c>
      <c r="AY185" s="56">
        <f>IF($AV$201=0,AY183,IF(OR(C178="無",AN182=0),0,$AH$3*AN182/12*0.1*(10-$AV$201)*IF(AD185="1",0.5,1)))</f>
        <v>0</v>
      </c>
      <c r="AZ185" s="180">
        <f>IF($AV$201=0,AZ183,IF(OR(C178="無",AN181=0),0,$AI$3*AN181/12*0.1*(10-$AV$201)))</f>
        <v>0</v>
      </c>
      <c r="BA185" s="181">
        <f>IF($AV$201=0,BA183,IF(OR(C178="無",AN182=0),0,$AE$3*AN182/12*0.1*(10-$AV$201)))</f>
        <v>0</v>
      </c>
    </row>
    <row r="186" spans="1:53" ht="14.25" thickBot="1">
      <c r="A186" s="7"/>
      <c r="B186" s="16"/>
      <c r="C186" s="166"/>
      <c r="D186" s="168"/>
      <c r="E186" s="169"/>
      <c r="F186" s="170"/>
      <c r="G186" s="171"/>
      <c r="H186" s="172"/>
      <c r="I186" s="147"/>
      <c r="J186" s="216"/>
      <c r="K186" s="156"/>
      <c r="L186" s="162" t="s">
        <v>25</v>
      </c>
      <c r="M186" s="158"/>
      <c r="N186" s="155"/>
      <c r="O186" s="159"/>
      <c r="P186" s="147"/>
      <c r="Q186" s="216"/>
      <c r="R186" s="156"/>
      <c r="S186" s="162" t="s">
        <v>25</v>
      </c>
      <c r="T186" s="158"/>
      <c r="U186" s="155"/>
      <c r="V186" s="159"/>
      <c r="Y186" s="68"/>
      <c r="Z186" s="69"/>
      <c r="AA186" s="69"/>
      <c r="AB186" s="69"/>
      <c r="AC186" s="69"/>
      <c r="AD186" s="69"/>
      <c r="AE186" s="69"/>
      <c r="AF186" s="69"/>
      <c r="AG186" s="69"/>
      <c r="AH186" s="69"/>
      <c r="AI186" s="69"/>
      <c r="AJ186" s="69"/>
      <c r="AK186" s="69"/>
      <c r="AL186" s="69"/>
      <c r="AM186" s="69"/>
      <c r="AN186" s="69"/>
      <c r="AO186" s="69"/>
      <c r="AP186" s="69"/>
      <c r="AQ186" s="69"/>
      <c r="AR186" s="69"/>
      <c r="AS186" s="69"/>
      <c r="AT186" s="69"/>
      <c r="AU186" s="69"/>
      <c r="AV186" s="69"/>
      <c r="AW186" s="69"/>
      <c r="AX186" s="69"/>
      <c r="AY186" s="69"/>
      <c r="AZ186" s="69"/>
      <c r="BA186" s="178"/>
    </row>
    <row r="187" spans="1:53">
      <c r="A187" s="7"/>
      <c r="B187" s="16"/>
      <c r="C187" s="166"/>
      <c r="D187" s="11">
        <v>1900000</v>
      </c>
      <c r="E187" s="157" t="s">
        <v>22</v>
      </c>
      <c r="F187" s="158">
        <v>3599999</v>
      </c>
      <c r="G187" s="155">
        <f>IF(AND(D187="",F187=""),0,IF(D187="",IF($H$178&lt;=F187,1,0),IF(F187="",IF($H$178&gt;=D187,1,0),IF(AND($H$178&gt;=D187,$H$178&lt;=F187),1,0))))</f>
        <v>0</v>
      </c>
      <c r="H187" s="163">
        <f>IF(G187=1,ROUNDDOWN(ROUNDDOWN(H178/4,-3)*2.8,0)-80000,0)</f>
        <v>0</v>
      </c>
      <c r="I187" s="147"/>
      <c r="J187" s="216"/>
      <c r="K187" s="156"/>
      <c r="L187" s="157" t="s">
        <v>22</v>
      </c>
      <c r="M187" s="158">
        <v>1299999</v>
      </c>
      <c r="N187" s="155">
        <f>IF(AND(K187="",M187=""),0,IF(O177&lt;=10000000,0,IF(O177&gt;20000000,0,IF(K187="",IF(O178&lt;=M187,1,0),IF(M187="",IF(O178&gt;=K187,1,0),IF(AND(O178&gt;=K187,O178&lt;=M187),1,0))))))</f>
        <v>0</v>
      </c>
      <c r="O187" s="159">
        <f>IF(N187=1,IF(O178-500000&gt;0,O178-500000,0),0)</f>
        <v>0</v>
      </c>
      <c r="P187" s="147"/>
      <c r="Q187" s="216"/>
      <c r="R187" s="156"/>
      <c r="S187" s="157" t="s">
        <v>22</v>
      </c>
      <c r="T187" s="158">
        <v>3299999</v>
      </c>
      <c r="U187" s="155">
        <f>IF(AND(R187="",T187=""),0,IF(V177&lt;=10000000,0,IF(V177&gt;20000000,0,IF(R187="",IF(V178&lt;=T187,1,0),IF(T187="",IF(V178&gt;=R187,1,0),IF(AND(V178&gt;=R187,V178&lt;=T187),1,0))))))</f>
        <v>0</v>
      </c>
      <c r="V187" s="159">
        <f>IF(U187=1,IF(V178-1000000&gt;0,V178-1000000,0),0)</f>
        <v>0</v>
      </c>
      <c r="Y187" s="56"/>
      <c r="Z187" s="56"/>
      <c r="AA187" s="56"/>
      <c r="AB187" s="56"/>
      <c r="AC187" s="56"/>
      <c r="AD187" s="56"/>
      <c r="AE187" s="56"/>
      <c r="AF187" s="56"/>
      <c r="AG187" s="56"/>
      <c r="AH187" s="56"/>
      <c r="AI187" s="56"/>
      <c r="AJ187" s="56"/>
      <c r="AK187" s="56"/>
      <c r="AL187" s="56"/>
      <c r="AM187" s="56"/>
      <c r="AN187" s="56"/>
      <c r="AO187" s="56"/>
      <c r="AP187" s="56"/>
      <c r="AQ187" s="56"/>
      <c r="AR187" s="56"/>
      <c r="AS187" s="56"/>
      <c r="AT187" s="56"/>
      <c r="AU187" s="56"/>
      <c r="AV187" s="56"/>
      <c r="AW187" s="56"/>
      <c r="AX187" s="56"/>
      <c r="AY187" s="56"/>
      <c r="AZ187" s="56"/>
    </row>
    <row r="188" spans="1:53">
      <c r="A188" s="7"/>
      <c r="B188" s="16"/>
      <c r="C188" s="166"/>
      <c r="D188" s="156">
        <v>3600000</v>
      </c>
      <c r="E188" s="157" t="s">
        <v>22</v>
      </c>
      <c r="F188" s="158">
        <v>6599999</v>
      </c>
      <c r="G188" s="155">
        <f>IF(AND(D188="",F188=""),0,IF(D188="",IF($H$178&lt;=F188,1,0),IF(F188="",IF($H$178&gt;=D188,1,0),IF(AND($H$178&gt;=D188,$H$178&lt;=F188),1,0))))</f>
        <v>0</v>
      </c>
      <c r="H188" s="163">
        <f>IF(G188=1,ROUNDDOWN(ROUNDDOWN(H178/4,-3)*3.2,0)-440000,0)</f>
        <v>0</v>
      </c>
      <c r="I188" s="147"/>
      <c r="J188" s="216"/>
      <c r="K188" s="156">
        <v>1300000</v>
      </c>
      <c r="L188" s="157" t="s">
        <v>22</v>
      </c>
      <c r="M188" s="158">
        <v>4099999</v>
      </c>
      <c r="N188" s="155">
        <f>IF(AND(K188="",M188=""),0,IF(O177&lt;=10000000,0,IF(O177&gt;20000000,0,IF(K188="",IF(O178&lt;=M188,1,0),IF(M188="",IF(O178&gt;=K188,1,0),IF(AND(O178&gt;=K188,O178&lt;=M188),1,0))))))</f>
        <v>0</v>
      </c>
      <c r="O188" s="159">
        <f>IF(N188=1,ROUNDDOWN(O178*0.75-175000,0),0)</f>
        <v>0</v>
      </c>
      <c r="P188" s="147"/>
      <c r="Q188" s="216"/>
      <c r="R188" s="156">
        <v>3300000</v>
      </c>
      <c r="S188" s="157" t="s">
        <v>22</v>
      </c>
      <c r="T188" s="158">
        <v>4099999</v>
      </c>
      <c r="U188" s="155">
        <f>IF(AND(R188="",T188=""),0,IF(V177&lt;=10000000,0,IF(V177&gt;20000000,0,IF(R188="",IF(V178&lt;=T188,1,0),IF(T188="",IF(V178&gt;=R188,1,0),IF(AND(V178&gt;=R188,V178&lt;=T188),1,0))))))</f>
        <v>0</v>
      </c>
      <c r="V188" s="159">
        <f>IF(U188=1,ROUNDDOWN(V178*0.75-175000,0),0)</f>
        <v>0</v>
      </c>
      <c r="Y188" s="56"/>
      <c r="Z188" s="56"/>
      <c r="AA188" s="56"/>
      <c r="AB188" s="56"/>
      <c r="AC188" s="56"/>
      <c r="AD188" s="56"/>
      <c r="AE188" s="56"/>
      <c r="AF188" s="56"/>
      <c r="AG188" s="56"/>
      <c r="AH188" s="56"/>
      <c r="AI188" s="56"/>
      <c r="AJ188" s="56"/>
      <c r="AK188" s="56"/>
      <c r="AL188" s="56"/>
      <c r="AM188" s="56"/>
      <c r="AN188" s="56"/>
      <c r="AO188" s="56"/>
      <c r="AP188" s="56"/>
      <c r="AQ188" s="56"/>
      <c r="AR188" s="56"/>
      <c r="AS188" s="56"/>
      <c r="AT188" s="56"/>
      <c r="AU188" s="56"/>
      <c r="AV188" s="56"/>
      <c r="AW188" s="56"/>
      <c r="AX188" s="56"/>
      <c r="AY188" s="56"/>
      <c r="AZ188" s="56"/>
    </row>
    <row r="189" spans="1:53">
      <c r="A189" s="7"/>
      <c r="B189" s="16"/>
      <c r="C189" s="166"/>
      <c r="D189" s="156">
        <v>6600000</v>
      </c>
      <c r="E189" s="157" t="s">
        <v>22</v>
      </c>
      <c r="F189" s="158">
        <v>8499999</v>
      </c>
      <c r="G189" s="155">
        <f t="shared" ref="G189:G199" si="135">IF(AND(D189="",F189=""),0,IF(D189="",IF($H$178&lt;=F189,1,0),IF(F189="",IF($H$178&gt;=D189,1,0),IF(AND($H$178&gt;=D189,$H$178&lt;=F189),1,0))))</f>
        <v>0</v>
      </c>
      <c r="H189" s="163">
        <f>IF(G189=1,ROUNDDOWN(H178*0.9-1100000,0),0)</f>
        <v>0</v>
      </c>
      <c r="I189" s="147"/>
      <c r="J189" s="216"/>
      <c r="K189" s="156">
        <v>4100000</v>
      </c>
      <c r="L189" s="157" t="s">
        <v>22</v>
      </c>
      <c r="M189" s="158">
        <v>7699999</v>
      </c>
      <c r="N189" s="155">
        <f>IF(AND(K189="",M189=""),0,IF(O177&lt;=10000000,0,IF(O177&gt;20000000,0,IF(K189="",IF(O178&lt;=M189,1,0),IF(M189="",IF(O178&gt;=K189,1,0),IF(AND(O178&gt;=K189,O178&lt;=M189),1,0))))))</f>
        <v>0</v>
      </c>
      <c r="O189" s="159">
        <f>IF(N189=1,ROUNDDOWN(O178*0.85-585000,0),0)</f>
        <v>0</v>
      </c>
      <c r="P189" s="147"/>
      <c r="Q189" s="216"/>
      <c r="R189" s="156">
        <v>4100000</v>
      </c>
      <c r="S189" s="157" t="s">
        <v>22</v>
      </c>
      <c r="T189" s="158">
        <v>7699999</v>
      </c>
      <c r="U189" s="155">
        <f>IF(AND(R189="",T189=""),0,IF(V177&lt;=10000000,0,IF(V177&gt;20000000,0,IF(R189="",IF(V178&lt;=T189,1,0),IF(T189="",IF(V178&gt;=R189,1,0),IF(AND(V178&gt;=R189,V178&lt;=T189),1,0))))))</f>
        <v>0</v>
      </c>
      <c r="V189" s="159">
        <f>IF(U189=1,ROUNDDOWN(V178*0.85-585000,0),0)</f>
        <v>0</v>
      </c>
      <c r="Y189" s="56"/>
      <c r="Z189" s="56"/>
      <c r="AA189" s="56"/>
      <c r="AB189" s="56"/>
      <c r="AC189" s="56"/>
      <c r="AD189" s="56"/>
      <c r="AE189" s="56"/>
      <c r="AF189" s="56"/>
      <c r="AG189" s="56"/>
      <c r="AH189" s="56"/>
      <c r="AI189" s="56"/>
      <c r="AJ189" s="56"/>
      <c r="AK189" s="56"/>
      <c r="AL189" s="56"/>
      <c r="AM189" s="56"/>
      <c r="AN189" s="56"/>
      <c r="AO189" s="56"/>
      <c r="AP189" s="56"/>
      <c r="AQ189" s="56"/>
      <c r="AR189" s="56"/>
      <c r="AS189" s="56"/>
      <c r="AT189" s="56"/>
      <c r="AU189" s="56"/>
      <c r="AV189" s="56"/>
      <c r="AW189" s="56"/>
      <c r="AX189" s="56"/>
      <c r="AY189" s="56"/>
      <c r="AZ189" s="56"/>
    </row>
    <row r="190" spans="1:53">
      <c r="A190" s="7"/>
      <c r="B190" s="16"/>
      <c r="C190" s="166"/>
      <c r="D190" s="156">
        <v>8500000</v>
      </c>
      <c r="E190" s="157" t="s">
        <v>22</v>
      </c>
      <c r="F190" s="158"/>
      <c r="G190" s="155">
        <f t="shared" si="135"/>
        <v>0</v>
      </c>
      <c r="H190" s="163">
        <f>IF(G190=1,H178-1950000,0)</f>
        <v>0</v>
      </c>
      <c r="I190" s="147"/>
      <c r="J190" s="216"/>
      <c r="K190" s="156">
        <v>7700000</v>
      </c>
      <c r="L190" s="157" t="s">
        <v>22</v>
      </c>
      <c r="M190" s="158">
        <v>9999999</v>
      </c>
      <c r="N190" s="155">
        <f>IF(AND(K190="",M190=""),0,IF(O177&lt;=10000000,0,IF(O177&gt;20000000,0,IF(K190="",IF(O178&lt;=M190,1,0),IF(M190="",IF(O178&gt;=K190,1,0),IF(AND(O178&gt;=K190,O178&lt;=M190),1,0))))))</f>
        <v>0</v>
      </c>
      <c r="O190" s="159">
        <f>IF(N190=1,ROUNDDOWN(O178*0.95-1355000,0),0)</f>
        <v>0</v>
      </c>
      <c r="P190" s="147"/>
      <c r="Q190" s="216"/>
      <c r="R190" s="156">
        <v>7700000</v>
      </c>
      <c r="S190" s="157" t="s">
        <v>22</v>
      </c>
      <c r="T190" s="158">
        <v>9999999</v>
      </c>
      <c r="U190" s="155">
        <f>IF(AND(R190="",T190=""),0,IF(V177&lt;=10000000,0,IF(V177&gt;20000000,0,IF(R190="",IF(V178&lt;=T190,1,0),IF(T190="",IF(V178&gt;=R190,1,0),IF(AND(V178&gt;=R190,V178&lt;=T190),1,0))))))</f>
        <v>0</v>
      </c>
      <c r="V190" s="159">
        <f>IF(U190=1,ROUNDDOWN(V178*0.95-1355000,0),0)</f>
        <v>0</v>
      </c>
      <c r="Y190" s="56"/>
      <c r="Z190" s="56"/>
      <c r="AA190" s="56"/>
      <c r="AB190" s="56"/>
      <c r="AC190" s="56"/>
      <c r="AD190" s="56"/>
      <c r="AE190" s="56"/>
      <c r="AF190" s="56"/>
      <c r="AG190" s="56"/>
      <c r="AH190" s="56"/>
      <c r="AI190" s="56"/>
      <c r="AJ190" s="56"/>
      <c r="AK190" s="56"/>
      <c r="AL190" s="56"/>
      <c r="AM190" s="56"/>
      <c r="AN190" s="56"/>
      <c r="AO190" s="56"/>
      <c r="AP190" s="56"/>
      <c r="AQ190" s="56"/>
      <c r="AR190" s="56"/>
      <c r="AS190" s="56"/>
      <c r="AT190" s="56"/>
      <c r="AU190" s="56"/>
      <c r="AV190" s="56"/>
      <c r="AW190" s="56"/>
      <c r="AX190" s="56"/>
      <c r="AY190" s="56"/>
      <c r="AZ190" s="56"/>
    </row>
    <row r="191" spans="1:53">
      <c r="A191" s="7"/>
      <c r="B191" s="16"/>
      <c r="C191" s="166"/>
      <c r="D191" s="156"/>
      <c r="E191" s="157" t="s">
        <v>22</v>
      </c>
      <c r="F191" s="158"/>
      <c r="G191" s="155">
        <f t="shared" si="135"/>
        <v>0</v>
      </c>
      <c r="H191" s="163"/>
      <c r="I191" s="147"/>
      <c r="J191" s="216"/>
      <c r="K191" s="156">
        <v>10000000</v>
      </c>
      <c r="L191" s="157" t="s">
        <v>22</v>
      </c>
      <c r="M191" s="158"/>
      <c r="N191" s="155">
        <f>IF(AND(K191="",M191=""),0,IF(O177&lt;=10000000,0,IF(O177&gt;20000000,0,IF(K191="",IF(O178&lt;=M191,1,0),IF(M191="",IF(O178&gt;=K191,1,0),IF(AND(O178&gt;=K191,O178&lt;=M191),1,0))))))</f>
        <v>0</v>
      </c>
      <c r="O191" s="159">
        <f>IF(N191=1,O178-1855000,0)</f>
        <v>0</v>
      </c>
      <c r="P191" s="147"/>
      <c r="Q191" s="216"/>
      <c r="R191" s="156">
        <v>10000000</v>
      </c>
      <c r="S191" s="157" t="s">
        <v>22</v>
      </c>
      <c r="T191" s="158"/>
      <c r="U191" s="155">
        <f>IF(AND(R191="",T191=""),0,IF(V177&lt;=10000000,0,IF(V177&gt;20000000,0,IF(R191="",IF(V178&lt;=T191,1,0),IF(T191="",IF(V178&gt;=R191,1,0),IF(AND(V178&gt;=R191,V178&lt;=T191),1,0))))))</f>
        <v>0</v>
      </c>
      <c r="V191" s="159">
        <f>IF(U191=1,V178-1855000,0)</f>
        <v>0</v>
      </c>
      <c r="Y191" s="56"/>
      <c r="Z191" s="56"/>
      <c r="AA191" s="56"/>
      <c r="AB191" s="56"/>
      <c r="AC191" s="56"/>
      <c r="AD191" s="56"/>
      <c r="AE191" s="56"/>
      <c r="AF191" s="56"/>
      <c r="AG191" s="56"/>
      <c r="AH191" s="56"/>
      <c r="AI191" s="56"/>
      <c r="AJ191" s="56"/>
      <c r="AK191" s="56"/>
      <c r="AL191" s="56"/>
      <c r="AM191" s="56"/>
      <c r="AN191" s="56"/>
      <c r="AO191" s="56"/>
      <c r="AP191" s="56"/>
      <c r="AQ191" s="56"/>
      <c r="AR191" s="56"/>
      <c r="AS191" s="56"/>
      <c r="AT191" s="56"/>
      <c r="AU191" s="56"/>
      <c r="AV191" s="56"/>
      <c r="AW191" s="56"/>
      <c r="AX191" s="101"/>
      <c r="AY191" s="56"/>
      <c r="AZ191" s="56"/>
    </row>
    <row r="192" spans="1:53">
      <c r="A192" s="7"/>
      <c r="B192" s="16"/>
      <c r="C192" s="166"/>
      <c r="D192" s="156"/>
      <c r="E192" s="157" t="s">
        <v>22</v>
      </c>
      <c r="F192" s="158"/>
      <c r="G192" s="155">
        <f t="shared" si="135"/>
        <v>0</v>
      </c>
      <c r="H192" s="163"/>
      <c r="I192" s="147"/>
      <c r="J192" s="216"/>
      <c r="K192" s="156"/>
      <c r="L192" s="162" t="s">
        <v>27</v>
      </c>
      <c r="M192" s="158"/>
      <c r="N192" s="155"/>
      <c r="O192" s="163"/>
      <c r="P192" s="147"/>
      <c r="Q192" s="216"/>
      <c r="R192" s="156"/>
      <c r="S192" s="162" t="s">
        <v>27</v>
      </c>
      <c r="T192" s="158"/>
      <c r="U192" s="155"/>
      <c r="V192" s="163"/>
      <c r="Y192" s="56"/>
      <c r="Z192" s="56"/>
      <c r="AA192" s="56"/>
      <c r="AB192" s="56"/>
      <c r="AC192" s="56"/>
      <c r="AD192" s="56"/>
      <c r="AE192" s="56"/>
      <c r="AF192" s="56"/>
      <c r="AG192" s="56"/>
      <c r="AH192" s="56"/>
      <c r="AI192" s="56"/>
      <c r="AJ192" s="56"/>
      <c r="AK192" s="56"/>
      <c r="AL192" s="56"/>
      <c r="AM192" s="56"/>
      <c r="AN192" s="56"/>
      <c r="AO192" s="112"/>
      <c r="AP192" s="56"/>
      <c r="AQ192" s="56"/>
      <c r="AR192" s="56"/>
      <c r="AS192" s="56"/>
      <c r="AT192" s="56"/>
      <c r="AU192" s="56"/>
      <c r="AV192" s="56"/>
      <c r="AW192" s="56"/>
      <c r="AX192" s="56"/>
      <c r="AY192" s="56"/>
      <c r="AZ192" s="56"/>
    </row>
    <row r="193" spans="1:53">
      <c r="A193" s="7"/>
      <c r="B193" s="16"/>
      <c r="C193" s="166"/>
      <c r="D193" s="156"/>
      <c r="E193" s="157" t="s">
        <v>22</v>
      </c>
      <c r="F193" s="158"/>
      <c r="G193" s="155">
        <f t="shared" si="135"/>
        <v>0</v>
      </c>
      <c r="H193" s="163"/>
      <c r="I193" s="147"/>
      <c r="J193" s="216"/>
      <c r="K193" s="156"/>
      <c r="L193" s="157" t="s">
        <v>22</v>
      </c>
      <c r="M193" s="158">
        <v>1299999</v>
      </c>
      <c r="N193" s="155">
        <f>IF(AND(K193="",M193=""),0,IF(O177&lt;=20000000,0,IF(K193="",IF(O178&lt;=M193,1,0),IF(M193="",IF(O178&gt;=K193,1,0),IF(AND(O178&gt;=K193,O178&lt;=M193),1,0)))))</f>
        <v>0</v>
      </c>
      <c r="O193" s="159">
        <f>IF(N193=1,IF(O178-400000&gt;0,O178-400000,0),0)</f>
        <v>0</v>
      </c>
      <c r="P193" s="147"/>
      <c r="Q193" s="216"/>
      <c r="R193" s="156"/>
      <c r="S193" s="157" t="s">
        <v>22</v>
      </c>
      <c r="T193" s="158">
        <v>3299999</v>
      </c>
      <c r="U193" s="155">
        <f>IF(AND(R193="",T193=""),0,IF(V177&lt;=20000000,0,IF(R193="",IF(V178&lt;=T193,1,0),IF(T193="",IF(V178&gt;=R193,1,0),IF(AND(V178&gt;=R193,V178&lt;=T193),1,0)))))</f>
        <v>0</v>
      </c>
      <c r="V193" s="159">
        <f>IF(U193=1,IF(V178-900000&gt;0,V178-900000,0),0)</f>
        <v>0</v>
      </c>
      <c r="Y193" s="56"/>
      <c r="Z193" s="56"/>
      <c r="AA193" s="56"/>
      <c r="AB193" s="56"/>
      <c r="AC193" s="56"/>
      <c r="AD193" s="56"/>
      <c r="AE193" s="56"/>
      <c r="AF193" s="56"/>
      <c r="AG193" s="56"/>
      <c r="AH193" s="56"/>
      <c r="AI193" s="56"/>
      <c r="AJ193" s="56"/>
      <c r="AK193" s="56"/>
      <c r="AL193" s="56"/>
      <c r="AM193" s="56"/>
      <c r="AN193" s="56"/>
      <c r="AO193" s="56"/>
      <c r="AP193" s="56"/>
      <c r="AQ193" s="56"/>
      <c r="AR193" s="56"/>
      <c r="AS193" s="56"/>
      <c r="AT193" s="56"/>
      <c r="AU193" s="56"/>
      <c r="AV193" s="56"/>
      <c r="AW193" s="56"/>
      <c r="AX193" s="56"/>
      <c r="AY193" s="56"/>
      <c r="AZ193" s="56"/>
    </row>
    <row r="194" spans="1:53">
      <c r="A194" s="7"/>
      <c r="B194" s="16"/>
      <c r="C194" s="166"/>
      <c r="D194" s="156"/>
      <c r="E194" s="157" t="s">
        <v>22</v>
      </c>
      <c r="F194" s="158"/>
      <c r="G194" s="155">
        <f t="shared" si="135"/>
        <v>0</v>
      </c>
      <c r="H194" s="163"/>
      <c r="I194" s="147"/>
      <c r="J194" s="216"/>
      <c r="K194" s="156">
        <v>1300000</v>
      </c>
      <c r="L194" s="157" t="s">
        <v>22</v>
      </c>
      <c r="M194" s="158">
        <v>4099999</v>
      </c>
      <c r="N194" s="155">
        <f>IF(AND(K194="",M194=""),0,IF(O177&lt;=20000000,0,IF(K194="",IF(O178&lt;=M194,1,0),IF(M194="",IF(O178&gt;=K194,1,0),IF(AND(O178&gt;=K194,O178&lt;=M194),1,0)))))</f>
        <v>0</v>
      </c>
      <c r="O194" s="159">
        <f>IF(N194=1,ROUNDDOWN(O178*0.75-75000,0),0)</f>
        <v>0</v>
      </c>
      <c r="P194" s="147"/>
      <c r="Q194" s="216"/>
      <c r="R194" s="156">
        <v>3300000</v>
      </c>
      <c r="S194" s="157" t="s">
        <v>22</v>
      </c>
      <c r="T194" s="158">
        <v>4099999</v>
      </c>
      <c r="U194" s="155">
        <f>IF(AND(R194="",T194=""),0,IF(V177&lt;=20000000,0,IF(R194="",IF(V178&lt;=T194,1,0),IF(T194="",IF(V178&gt;=R194,1,0),IF(AND(V178&gt;=R194,V178&lt;=T194),1,0)))))</f>
        <v>0</v>
      </c>
      <c r="V194" s="159">
        <f>IF(U194=1,ROUNDDOWN(V178*0.75-75000,0),0)</f>
        <v>0</v>
      </c>
      <c r="Y194" s="56"/>
      <c r="Z194" s="56"/>
      <c r="AA194" s="56"/>
      <c r="AB194" s="56"/>
      <c r="AC194" s="56"/>
      <c r="AD194" s="56"/>
      <c r="AE194" s="56"/>
      <c r="AF194" s="56"/>
      <c r="AG194" s="56"/>
      <c r="AH194" s="56"/>
      <c r="AI194" s="56"/>
      <c r="AJ194" s="56"/>
      <c r="AK194" s="56"/>
      <c r="AL194" s="56"/>
      <c r="AM194" s="56"/>
      <c r="AN194" s="56"/>
      <c r="AO194" s="56"/>
      <c r="AP194" s="56"/>
      <c r="AQ194" s="56"/>
      <c r="AR194" s="56"/>
      <c r="AS194" s="56"/>
      <c r="AT194" s="56"/>
      <c r="AU194" s="56"/>
      <c r="AV194" s="56"/>
      <c r="AW194" s="56"/>
      <c r="AX194" s="56"/>
      <c r="AY194" s="56"/>
      <c r="AZ194" s="56"/>
    </row>
    <row r="195" spans="1:53" ht="14.25" thickBot="1">
      <c r="A195" s="7"/>
      <c r="B195" s="16"/>
      <c r="C195" s="166"/>
      <c r="D195" s="156"/>
      <c r="E195" s="157" t="s">
        <v>22</v>
      </c>
      <c r="F195" s="158"/>
      <c r="G195" s="155">
        <f t="shared" si="135"/>
        <v>0</v>
      </c>
      <c r="H195" s="163"/>
      <c r="I195" s="147"/>
      <c r="J195" s="216"/>
      <c r="K195" s="156">
        <v>4100000</v>
      </c>
      <c r="L195" s="157" t="s">
        <v>22</v>
      </c>
      <c r="M195" s="158">
        <v>7699999</v>
      </c>
      <c r="N195" s="155">
        <f>IF(AND(K195="",M195=""),0,IF(O177&lt;=20000000,0,IF(K195="",IF(O178&lt;=M195,1,0),IF(M195="",IF(O178&gt;=K195,1,0),IF(AND(O178&gt;=K195,O178&lt;=M195),1,0)))))</f>
        <v>0</v>
      </c>
      <c r="O195" s="159">
        <f>IF(N195=1,ROUNDDOWN(O178*0.85-485000,0),0)</f>
        <v>0</v>
      </c>
      <c r="P195" s="147"/>
      <c r="Q195" s="216"/>
      <c r="R195" s="156">
        <v>4100000</v>
      </c>
      <c r="S195" s="157" t="s">
        <v>22</v>
      </c>
      <c r="T195" s="158">
        <v>7699999</v>
      </c>
      <c r="U195" s="155">
        <f>IF(AND(R195="",T195=""),0,IF(V177&lt;=20000000,0,IF(R195="",IF(V178&lt;=T195,1,0),IF(T195="",IF(V178&gt;=R195,1,0),IF(AND(V178&gt;=R195,V178&lt;=T195),1,0)))))</f>
        <v>0</v>
      </c>
      <c r="V195" s="159">
        <f>IF(U195=1,ROUNDDOWN(V178*0.85-485000,0),0)</f>
        <v>0</v>
      </c>
      <c r="Y195" s="56"/>
      <c r="Z195" s="56"/>
      <c r="AA195" s="56"/>
      <c r="AB195" s="56"/>
      <c r="AC195" s="56"/>
      <c r="AD195" s="56"/>
      <c r="AE195" s="56"/>
      <c r="AF195" s="56"/>
      <c r="AG195" s="56"/>
      <c r="AH195" s="56"/>
      <c r="AI195" s="56"/>
      <c r="AJ195" s="56"/>
      <c r="AK195" s="56"/>
      <c r="AL195" s="56"/>
      <c r="AM195" s="56"/>
      <c r="AN195" s="56"/>
      <c r="AO195" s="56"/>
      <c r="AP195" s="56"/>
      <c r="AQ195" s="56"/>
      <c r="AR195" s="56"/>
      <c r="AS195" s="56"/>
      <c r="AT195" s="56"/>
      <c r="AU195" s="56"/>
      <c r="AV195" s="56"/>
      <c r="AW195" s="56"/>
      <c r="AX195" s="56" t="s">
        <v>68</v>
      </c>
      <c r="AY195" s="56" t="s">
        <v>69</v>
      </c>
      <c r="AZ195" s="56" t="s">
        <v>70</v>
      </c>
      <c r="BA195" t="s">
        <v>202</v>
      </c>
    </row>
    <row r="196" spans="1:53">
      <c r="A196" s="7"/>
      <c r="B196" s="16"/>
      <c r="C196" s="166"/>
      <c r="D196" s="156"/>
      <c r="E196" s="157" t="s">
        <v>22</v>
      </c>
      <c r="F196" s="158"/>
      <c r="G196" s="155">
        <f t="shared" si="135"/>
        <v>0</v>
      </c>
      <c r="H196" s="163"/>
      <c r="I196" s="147"/>
      <c r="J196" s="216"/>
      <c r="K196" s="156">
        <v>7700000</v>
      </c>
      <c r="L196" s="157" t="s">
        <v>22</v>
      </c>
      <c r="M196" s="158">
        <v>9999999</v>
      </c>
      <c r="N196" s="155">
        <f>IF(AND(K196="",M196=""),0,IF(O177&lt;=20000000,0,IF(K196="",IF(O178&lt;=M196,1,0),IF(M196="",IF(O178&gt;=K196,1,0),IF(AND(O178&gt;=K196,O178&lt;=M196),1,0)))))</f>
        <v>0</v>
      </c>
      <c r="O196" s="159">
        <f>IF(N196=1,ROUNDDOWN(O178*0.95-1255000,0),0)</f>
        <v>0</v>
      </c>
      <c r="P196" s="147"/>
      <c r="Q196" s="216"/>
      <c r="R196" s="156">
        <v>7700000</v>
      </c>
      <c r="S196" s="157" t="s">
        <v>22</v>
      </c>
      <c r="T196" s="158">
        <v>9999999</v>
      </c>
      <c r="U196" s="155">
        <f>IF(AND(R196="",T196=""),0,IF(V177&lt;=20000000,0,IF(R196="",IF(V178&lt;=T196,1,0),IF(T196="",IF(V178&gt;=R196,1,0),IF(AND(V178&gt;=R196,V178&lt;=T196),1,0)))))</f>
        <v>0</v>
      </c>
      <c r="V196" s="159">
        <f>IF(U196=1,ROUNDDOWN(V178*0.95-1255000,0),0)</f>
        <v>0</v>
      </c>
      <c r="Y196" s="7"/>
      <c r="Z196" s="7" t="s">
        <v>144</v>
      </c>
      <c r="AA196" s="7"/>
      <c r="AB196" s="7" t="s">
        <v>51</v>
      </c>
      <c r="AC196" s="7" t="s">
        <v>52</v>
      </c>
      <c r="AD196" s="7" t="s">
        <v>53</v>
      </c>
      <c r="AE196" s="7" t="s">
        <v>54</v>
      </c>
      <c r="AF196" s="7" t="s">
        <v>55</v>
      </c>
      <c r="AG196" s="7" t="s">
        <v>56</v>
      </c>
      <c r="AH196" s="7" t="s">
        <v>57</v>
      </c>
      <c r="AI196" s="7" t="s">
        <v>58</v>
      </c>
      <c r="AJ196" s="7" t="s">
        <v>59</v>
      </c>
      <c r="AK196" s="7" t="s">
        <v>60</v>
      </c>
      <c r="AL196" s="7" t="s">
        <v>61</v>
      </c>
      <c r="AM196" s="7" t="s">
        <v>62</v>
      </c>
      <c r="AN196" s="7" t="s">
        <v>63</v>
      </c>
      <c r="AO196" s="7" t="s">
        <v>64</v>
      </c>
      <c r="AP196" s="7"/>
      <c r="AQ196" s="7"/>
      <c r="AR196" s="7"/>
      <c r="AS196" s="7"/>
      <c r="AT196" s="7"/>
      <c r="AU196" s="7"/>
      <c r="AV196" s="7"/>
      <c r="AW196" s="92" t="s">
        <v>98</v>
      </c>
      <c r="AX196" s="99">
        <f>AG4*AN198/12</f>
        <v>0</v>
      </c>
      <c r="AY196" s="99">
        <f>AH4*AN198/12</f>
        <v>0</v>
      </c>
      <c r="AZ196" s="99">
        <f>AI4*AN197/12</f>
        <v>0</v>
      </c>
      <c r="BA196" s="184">
        <f>AE4*AN198/12</f>
        <v>0</v>
      </c>
    </row>
    <row r="197" spans="1:53">
      <c r="A197" s="7"/>
      <c r="B197" s="16"/>
      <c r="C197" s="166"/>
      <c r="D197" s="156"/>
      <c r="E197" s="157" t="s">
        <v>22</v>
      </c>
      <c r="F197" s="158"/>
      <c r="G197" s="155">
        <f t="shared" si="135"/>
        <v>0</v>
      </c>
      <c r="H197" s="163"/>
      <c r="I197" s="147"/>
      <c r="J197" s="216"/>
      <c r="K197" s="156">
        <v>10000000</v>
      </c>
      <c r="L197" s="157" t="s">
        <v>22</v>
      </c>
      <c r="M197" s="158"/>
      <c r="N197" s="155">
        <f>IF(AND(K197="",M197=""),0,IF(O177&lt;=20000000,0,IF(K197="",IF(O178&lt;=M197,1,0),IF(M197="",IF(O178&gt;=K197,1,0),IF(AND(O178&gt;=K197,O178&lt;=M197),1,0)))))</f>
        <v>0</v>
      </c>
      <c r="O197" s="159">
        <f>IF(N197=1,O178-1755000,0)</f>
        <v>0</v>
      </c>
      <c r="P197" s="147"/>
      <c r="Q197" s="216"/>
      <c r="R197" s="156">
        <v>10000000</v>
      </c>
      <c r="S197" s="157" t="s">
        <v>22</v>
      </c>
      <c r="T197" s="158"/>
      <c r="U197" s="155">
        <f>IF(AND(R197="",T197=""),0,IF(V177&lt;=20000000,0,IF(R197="",IF(V178&lt;=T197,1,0),IF(T197="",IF(V178&gt;=R197,1,0),IF(AND(V178&gt;=R197,V178&lt;=T197),1,0)))))</f>
        <v>0</v>
      </c>
      <c r="V197" s="159">
        <f>IF(U197=1,V178-1755000,0)</f>
        <v>0</v>
      </c>
      <c r="Y197" s="7"/>
      <c r="Z197" s="7" t="s">
        <v>71</v>
      </c>
      <c r="AA197" s="7"/>
      <c r="AB197" s="114">
        <f>IF(OR(AB6=1,AB31=1,AB56=1,AB81=1,AB106=1,AB131=1,AB156=1,AB181=1),1,0)</f>
        <v>0</v>
      </c>
      <c r="AC197" s="114">
        <f t="shared" ref="AC197:AL197" si="136">IF(OR(AC6=1,AC31=1,AC56=1,AC81=1,AC106=1,AC131=1,AC156=1,AC181=1),1,0)</f>
        <v>0</v>
      </c>
      <c r="AD197" s="114">
        <f t="shared" si="136"/>
        <v>0</v>
      </c>
      <c r="AE197" s="114">
        <f t="shared" si="136"/>
        <v>0</v>
      </c>
      <c r="AF197" s="114">
        <f t="shared" si="136"/>
        <v>0</v>
      </c>
      <c r="AG197" s="114">
        <f t="shared" si="136"/>
        <v>0</v>
      </c>
      <c r="AH197" s="114">
        <f t="shared" si="136"/>
        <v>0</v>
      </c>
      <c r="AI197" s="114">
        <f t="shared" si="136"/>
        <v>0</v>
      </c>
      <c r="AJ197" s="114">
        <f t="shared" si="136"/>
        <v>0</v>
      </c>
      <c r="AK197" s="114">
        <f t="shared" si="136"/>
        <v>0</v>
      </c>
      <c r="AL197" s="114">
        <f t="shared" si="136"/>
        <v>0</v>
      </c>
      <c r="AM197" s="114">
        <f>IF(OR(AM6=1,AM31=1,AM56=1,AM81=1,AM106=1,AM131=1,AM156=1,AM181=1),1,0)</f>
        <v>0</v>
      </c>
      <c r="AN197" s="114">
        <f>SUM(AB197:AM197)</f>
        <v>0</v>
      </c>
      <c r="AO197" s="87">
        <f>IF(AN197&gt;0,1,0)</f>
        <v>0</v>
      </c>
      <c r="AP197" s="7"/>
      <c r="AQ197" s="7"/>
      <c r="AR197" s="7"/>
      <c r="AS197" s="7"/>
      <c r="AT197" s="7"/>
      <c r="AU197" s="7"/>
      <c r="AV197" s="7"/>
      <c r="AW197" s="93" t="s">
        <v>99</v>
      </c>
      <c r="AX197" s="100">
        <f>AX6+AX31+AX56+AX81+AX106+AX131+AX156+AX181</f>
        <v>0</v>
      </c>
      <c r="AY197" s="100">
        <f>AY6+AY31+AY56+AY81+AY106+AY131+AY156+AY181</f>
        <v>0</v>
      </c>
      <c r="AZ197" s="100">
        <f>AZ6+AZ31+AZ56+AZ81+AZ106+AZ131+AZ156+AZ181</f>
        <v>0</v>
      </c>
      <c r="BA197" s="188">
        <f>BA6+BA31+BA56+BA81+BA106+BA131+BA156+BA181</f>
        <v>0</v>
      </c>
    </row>
    <row r="198" spans="1:53">
      <c r="A198" s="7"/>
      <c r="B198" s="16"/>
      <c r="C198" s="166"/>
      <c r="D198" s="156"/>
      <c r="E198" s="157" t="s">
        <v>22</v>
      </c>
      <c r="F198" s="158"/>
      <c r="G198" s="155">
        <f>IF(AND(D198="",F198=""),0,IF(D198="",IF($H$178&lt;=F198,1,0),IF(F198="",IF($H$178&gt;=D198,1,0),IF(AND($H$178&gt;=D198,$H$178&lt;=F198),1,0))))</f>
        <v>0</v>
      </c>
      <c r="H198" s="159"/>
      <c r="I198" s="147"/>
      <c r="J198" s="216"/>
      <c r="K198" s="156"/>
      <c r="L198" s="157" t="s">
        <v>22</v>
      </c>
      <c r="M198" s="158"/>
      <c r="N198" s="155"/>
      <c r="O198" s="159"/>
      <c r="P198" s="147"/>
      <c r="Q198" s="216"/>
      <c r="R198" s="156"/>
      <c r="S198" s="157" t="s">
        <v>22</v>
      </c>
      <c r="T198" s="158"/>
      <c r="U198" s="155"/>
      <c r="V198" s="159"/>
      <c r="Y198" s="7"/>
      <c r="Z198" s="7" t="s">
        <v>75</v>
      </c>
      <c r="AA198" s="7"/>
      <c r="AB198" s="114">
        <f>IF(OR(AB7=1,AB32=1,AB57=1,AB82=1,AB107=1,AB132=1,AB157=1,AB182=1),1,0)</f>
        <v>0</v>
      </c>
      <c r="AC198" s="114">
        <f t="shared" ref="AC198:AM198" si="137">IF(OR(AC7=1,AC32=1,AC57=1,AC82=1,AC107=1,AC132=1,AC157=1,AC182=1),1,0)</f>
        <v>0</v>
      </c>
      <c r="AD198" s="114">
        <f t="shared" si="137"/>
        <v>0</v>
      </c>
      <c r="AE198" s="114">
        <f t="shared" si="137"/>
        <v>0</v>
      </c>
      <c r="AF198" s="114">
        <f t="shared" si="137"/>
        <v>0</v>
      </c>
      <c r="AG198" s="114">
        <f t="shared" si="137"/>
        <v>0</v>
      </c>
      <c r="AH198" s="114">
        <f t="shared" si="137"/>
        <v>0</v>
      </c>
      <c r="AI198" s="114">
        <f t="shared" si="137"/>
        <v>0</v>
      </c>
      <c r="AJ198" s="114">
        <f t="shared" si="137"/>
        <v>0</v>
      </c>
      <c r="AK198" s="114">
        <f t="shared" si="137"/>
        <v>0</v>
      </c>
      <c r="AL198" s="114">
        <f t="shared" si="137"/>
        <v>0</v>
      </c>
      <c r="AM198" s="114">
        <f t="shared" si="137"/>
        <v>0</v>
      </c>
      <c r="AN198" s="114">
        <f>SUM(AB198:AM198)</f>
        <v>0</v>
      </c>
      <c r="AO198" s="7"/>
      <c r="AP198" s="23" t="s">
        <v>100</v>
      </c>
      <c r="AQ198" s="80">
        <f>IF(AB10+AB35+AB60+AB85+AB110+AB135+AB160+AB185&lt;=0,0,AB10+AB35+AB60+AB85+AB110+AB135+AB160+AB185-1)</f>
        <v>0</v>
      </c>
      <c r="AR198" s="7"/>
      <c r="AS198" s="7"/>
      <c r="AT198" s="7"/>
      <c r="AU198" s="7"/>
      <c r="AV198" s="7"/>
      <c r="AW198" s="93" t="s">
        <v>101</v>
      </c>
      <c r="AX198" s="102">
        <f>IF(OR(AD10=AD35=AD60=AD85=AD110=AD135=AD160=AD185=0,$AV$201=0),AX196+AX197+AX199,AX196+AX197+AX200)</f>
        <v>0</v>
      </c>
      <c r="AY198" s="102">
        <f>IF(OR(AD10=AD35=AD60=AD85=AD110=AD135=AD160=AD185=0,$AV$201=0),AY196+AY197+AY199,AY196+AY197+AY200)</f>
        <v>0</v>
      </c>
      <c r="AZ198" s="110">
        <f>AZ6+AZ7+AZ8+AZ31+AZ32+AZ33+AZ56+AZ57+AZ58+AZ81+AZ82+AZ83+AZ106+AZ107+AZ108+AZ131+AZ132+AZ133+AZ156+AZ157+AZ158+AZ181+AZ182+AZ183+AZ196</f>
        <v>0</v>
      </c>
      <c r="BA198" s="189">
        <f>BA6+BA7+BA8+BA31+BA32+BA33+BA56+BA57+BA58+BA81+BA82+BA83+BA106+BA107+BA108+BA131+BA132+BA133+BA156+BA157+BA158+BA181+BA182+BA183+BA196</f>
        <v>0</v>
      </c>
    </row>
    <row r="199" spans="1:53">
      <c r="A199" s="7"/>
      <c r="B199" s="16"/>
      <c r="C199" s="166"/>
      <c r="D199" s="156"/>
      <c r="E199" s="157" t="s">
        <v>22</v>
      </c>
      <c r="F199" s="158"/>
      <c r="G199" s="155">
        <f t="shared" si="135"/>
        <v>0</v>
      </c>
      <c r="H199" s="159"/>
      <c r="I199" s="147"/>
      <c r="J199" s="216"/>
      <c r="K199" s="156"/>
      <c r="L199" s="157" t="s">
        <v>22</v>
      </c>
      <c r="M199" s="158"/>
      <c r="N199" s="155"/>
      <c r="O199" s="159"/>
      <c r="P199" s="147"/>
      <c r="Q199" s="216"/>
      <c r="R199" s="156"/>
      <c r="S199" s="157" t="s">
        <v>22</v>
      </c>
      <c r="T199" s="158"/>
      <c r="U199" s="155"/>
      <c r="V199" s="159"/>
      <c r="Y199" s="7"/>
      <c r="Z199" s="7"/>
      <c r="AA199" s="7"/>
      <c r="AB199" s="115"/>
      <c r="AC199" s="115"/>
      <c r="AD199" s="115"/>
      <c r="AE199" s="115"/>
      <c r="AF199" s="115"/>
      <c r="AG199" s="115"/>
      <c r="AH199" s="115"/>
      <c r="AI199" s="115"/>
      <c r="AJ199" s="115"/>
      <c r="AK199" s="115"/>
      <c r="AL199" s="115"/>
      <c r="AM199" s="115"/>
      <c r="AN199" s="115"/>
      <c r="AO199" s="7"/>
      <c r="AP199" s="7"/>
      <c r="AQ199" s="7"/>
      <c r="AR199" s="7"/>
      <c r="AS199" s="7"/>
      <c r="AT199" s="7"/>
      <c r="AU199" s="7"/>
      <c r="AV199" s="7"/>
      <c r="AW199" s="94" t="s">
        <v>102</v>
      </c>
      <c r="AX199" s="108">
        <f>AX8+AX33+AX58+AX83+AX108+AX133+AX158+AX183</f>
        <v>0</v>
      </c>
      <c r="AY199" s="108">
        <f>AY8+AY33+AY58+AY83+AY108+AY133+AY158+AY183</f>
        <v>0</v>
      </c>
      <c r="AZ199" s="183">
        <f>AZ8+AZ33+AZ58+AZ83+AZ108+AZ133+AZ158+AZ183</f>
        <v>0</v>
      </c>
      <c r="BA199" s="190">
        <f>BA8+BA33+BA58+BA83+BA108+BA133+BA158+BA183</f>
        <v>0</v>
      </c>
    </row>
    <row r="200" spans="1:53">
      <c r="A200" s="7"/>
      <c r="B200" s="16"/>
      <c r="C200" s="212" t="s">
        <v>20</v>
      </c>
      <c r="D200" s="213"/>
      <c r="E200" s="213"/>
      <c r="F200" s="213"/>
      <c r="G200" s="213"/>
      <c r="H200" s="151">
        <f>SUM(H180:H199)</f>
        <v>0</v>
      </c>
      <c r="I200" s="147"/>
      <c r="J200" s="214" t="s">
        <v>21</v>
      </c>
      <c r="K200" s="215"/>
      <c r="L200" s="215"/>
      <c r="M200" s="215"/>
      <c r="N200" s="212"/>
      <c r="O200" s="151">
        <f>SUM(O180:O199)</f>
        <v>0</v>
      </c>
      <c r="P200" s="147"/>
      <c r="Q200" s="214" t="s">
        <v>21</v>
      </c>
      <c r="R200" s="215"/>
      <c r="S200" s="215"/>
      <c r="T200" s="215"/>
      <c r="U200" s="212"/>
      <c r="V200" s="151">
        <f>SUM(V180:V199)</f>
        <v>0</v>
      </c>
      <c r="Y200" s="7" t="s">
        <v>103</v>
      </c>
      <c r="Z200" s="7"/>
      <c r="AA200" s="113" t="s">
        <v>155</v>
      </c>
      <c r="AB200" s="121">
        <f>IF(AB7&lt;&gt;1,0,IF(AB9&lt;&gt;1,$AX6/($AN7-$AN9),$AX7/$AN9))+IF(AB7&lt;&gt;1,0,$AX10/$AN7)</f>
        <v>0</v>
      </c>
      <c r="AC200" s="121">
        <f t="shared" ref="AC200:AM200" si="138">IF(AC7&lt;&gt;1,0,IF(AC9&lt;&gt;1,$AX6/($AN7-$AN9),$AX7/$AN9))+IF(AC7&lt;&gt;1,0,$AX10/$AN7)</f>
        <v>0</v>
      </c>
      <c r="AD200" s="121">
        <f t="shared" si="138"/>
        <v>0</v>
      </c>
      <c r="AE200" s="121">
        <f t="shared" si="138"/>
        <v>0</v>
      </c>
      <c r="AF200" s="121">
        <f t="shared" si="138"/>
        <v>0</v>
      </c>
      <c r="AG200" s="121">
        <f t="shared" si="138"/>
        <v>0</v>
      </c>
      <c r="AH200" s="121">
        <f t="shared" si="138"/>
        <v>0</v>
      </c>
      <c r="AI200" s="121">
        <f t="shared" si="138"/>
        <v>0</v>
      </c>
      <c r="AJ200" s="121">
        <f t="shared" si="138"/>
        <v>0</v>
      </c>
      <c r="AK200" s="121">
        <f t="shared" si="138"/>
        <v>0</v>
      </c>
      <c r="AL200" s="121">
        <f t="shared" si="138"/>
        <v>0</v>
      </c>
      <c r="AM200" s="121">
        <f t="shared" si="138"/>
        <v>0</v>
      </c>
      <c r="AN200" s="115"/>
      <c r="AO200" s="7"/>
      <c r="AP200" s="7" t="s">
        <v>104</v>
      </c>
      <c r="AQ200" s="7"/>
      <c r="AR200" s="7"/>
      <c r="AS200" s="7"/>
      <c r="AT200" s="7"/>
      <c r="AU200" s="7"/>
      <c r="AV200" s="7"/>
      <c r="AW200" s="96" t="s">
        <v>105</v>
      </c>
      <c r="AX200" s="109">
        <f>AX9+AX34+AX59+AX84+AX109+AX134+AX159+AX184</f>
        <v>0</v>
      </c>
      <c r="AY200" s="109">
        <f>AY9+AY34+AY59+AY84+AY109+AY134+AY159+AY184</f>
        <v>0</v>
      </c>
      <c r="AZ200" s="95" t="s">
        <v>203</v>
      </c>
      <c r="BA200" s="179" t="s">
        <v>203</v>
      </c>
    </row>
    <row r="201" spans="1:53">
      <c r="C201" s="164"/>
      <c r="D201" s="165"/>
      <c r="E201" s="165"/>
      <c r="F201" s="165"/>
      <c r="G201" s="165"/>
      <c r="H201" s="165"/>
      <c r="I201" s="165"/>
      <c r="J201" s="165"/>
      <c r="K201" s="165"/>
      <c r="L201" s="165"/>
      <c r="M201" s="165"/>
      <c r="N201" s="165"/>
      <c r="O201" s="165"/>
      <c r="P201" s="165"/>
      <c r="Q201" s="165"/>
      <c r="R201" s="165"/>
      <c r="S201" s="165"/>
      <c r="T201" s="165"/>
      <c r="U201" s="165"/>
      <c r="V201" s="165"/>
      <c r="Y201" s="7"/>
      <c r="Z201" s="7"/>
      <c r="AA201" s="113" t="s">
        <v>156</v>
      </c>
      <c r="AB201" s="121">
        <f>IF(AB32=0,0,IF(AB34=0,$AX31/($AN32-$AN34),$AX32/$AN34))+IF(AB32=0,0,$AX35/$AN32)</f>
        <v>0</v>
      </c>
      <c r="AC201" s="121">
        <f t="shared" ref="AC201:AM201" si="139">IF(AC32=0,0,IF(AC34=0,$AX31/($AN32-$AN34),$AX32/$AN34))+IF(AC32=0,0,$AX35/$AN32)</f>
        <v>0</v>
      </c>
      <c r="AD201" s="121">
        <f t="shared" si="139"/>
        <v>0</v>
      </c>
      <c r="AE201" s="121">
        <f t="shared" si="139"/>
        <v>0</v>
      </c>
      <c r="AF201" s="121">
        <f t="shared" si="139"/>
        <v>0</v>
      </c>
      <c r="AG201" s="121">
        <f t="shared" si="139"/>
        <v>0</v>
      </c>
      <c r="AH201" s="121">
        <f t="shared" si="139"/>
        <v>0</v>
      </c>
      <c r="AI201" s="121">
        <f t="shared" si="139"/>
        <v>0</v>
      </c>
      <c r="AJ201" s="121">
        <f t="shared" si="139"/>
        <v>0</v>
      </c>
      <c r="AK201" s="121">
        <f t="shared" si="139"/>
        <v>0</v>
      </c>
      <c r="AL201" s="121">
        <f t="shared" si="139"/>
        <v>0</v>
      </c>
      <c r="AM201" s="121">
        <f t="shared" si="139"/>
        <v>0</v>
      </c>
      <c r="AN201" s="115"/>
      <c r="AO201" s="7"/>
      <c r="AP201" s="21" t="s">
        <v>106</v>
      </c>
      <c r="AQ201" s="80">
        <f>IF(Z9+Z34+Z59+Z84+Z109+Z134+Z159+Z184=0,0,IF(IF(Z9=1,AT6,0)+IF(Z34=1,AT31,0)+IF(Z59=1,AT56,0)+IF(Z84=1,AT81,0)+IF(Z109=1,AT106,0)+IF(Z134=1,AT131,0)+IF(Z159=1,AT156,0)+IF(Z184=1,AT181,0)&lt;=Z1+100000*AQ198,7,0))</f>
        <v>0</v>
      </c>
      <c r="AR201" s="25"/>
      <c r="AS201" s="25"/>
      <c r="AT201" s="25"/>
      <c r="AU201" s="21" t="s">
        <v>107</v>
      </c>
      <c r="AV201" s="88">
        <f>IF(OR(C4=0,AQ210=1),0,IF(AT6+AT31+AT56+AT81+AT106+AT131+AT156+AT181&lt;=Z1+100000*AQ198,7,IF(AT6+AT31+AT56+AT81+AT106+AT131+AT156+AT181&lt;=(IF(C3="有",Z9,0)+Z34+Z59+Z84+Z109+Z134+Z159+Z184)*Z2+430000+100000*AQ198,5,IF(Z9+Z34+Z59+Z84+Z109+Z134+Z159+Z184=0,0,IF(Z34+Z59+Z84+Z109+Z134+Z159+Z184=0,IF(AT6+AT31+AT56+AT81+AT106+AT131+AT156+AT181&lt;=(IF(C3="有",Z9,0)+Z34+Z59+Z84+Z109+Z134+Z159+Z184)*Z3+430000+100000*AQ198,2,0),IF(AT6+AT31+AT56+AT81+AT106+AT131+AT156+AT181&lt;=(IF(C3="有",Z9,0)+Z34+Z59+Z84+Z109+Z134+Z159+Z184)*Z3+430000+100000*AQ198,2,0))))))</f>
        <v>0</v>
      </c>
      <c r="AW201" s="93" t="s">
        <v>108</v>
      </c>
      <c r="AX201" s="108">
        <f>IF(AV201=7,ROUNDUP(AX196+AX199,1)*0.7,IF(AV201=5,ROUNDUP(AX196+AX199,1)*0.5,IF(AV201=2,ROUNDUP(AX196+AX199,1)*0.2,0)))</f>
        <v>0</v>
      </c>
      <c r="AY201" s="108">
        <f>IF(AV201=7,ROUNDUP(AY196+AY199,1)*0.7,IF(AV201=5,ROUNDUP(AY196+AY199,1)*0.5,IF(AV201=2,ROUNDUP(AY196+AY199,1)*0.2,0)))</f>
        <v>0</v>
      </c>
      <c r="AZ201" s="108">
        <f>IF(AV201=7,ROUNDUP(AZ196+AZ199,1)*0.7,IF(AV201=5,ROUNDUP(AZ196+AZ199,1)*0.5,IF(AV201=2,ROUNDUP(AZ196+AZ199,1)*0.2,0)))</f>
        <v>0</v>
      </c>
      <c r="BA201" s="191">
        <f>IF(AV201=7,ROUNDUP(BA196+BA199,1)*0.7,IF(AV201=5,ROUNDUP(BA196+BA199,1)*0.5,IF(AV201=2,ROUNDUP(BA196+BA199,1)*0.2,0)))</f>
        <v>0</v>
      </c>
    </row>
    <row r="202" spans="1:53">
      <c r="C202" s="164"/>
      <c r="D202" s="165"/>
      <c r="E202" s="165"/>
      <c r="F202" s="165"/>
      <c r="G202" s="165"/>
      <c r="H202" s="165"/>
      <c r="I202" s="165"/>
      <c r="J202" s="165"/>
      <c r="K202" s="165"/>
      <c r="L202" s="165"/>
      <c r="M202" s="165"/>
      <c r="N202" s="165"/>
      <c r="O202" s="165"/>
      <c r="P202" s="165"/>
      <c r="Q202" s="165"/>
      <c r="R202" s="165"/>
      <c r="S202" s="165"/>
      <c r="T202" s="165"/>
      <c r="U202" s="165"/>
      <c r="V202" s="165"/>
      <c r="Y202" s="7"/>
      <c r="Z202" s="7"/>
      <c r="AA202" s="113" t="s">
        <v>157</v>
      </c>
      <c r="AB202" s="121">
        <f>IF(AB57=0,0,IF(AB59=0,$AX56/($AN57-$AN59),$AX57/$AN59))+IF(AB57=0,0,$AX60/$AN57)</f>
        <v>0</v>
      </c>
      <c r="AC202" s="121">
        <f t="shared" ref="AC202:AM202" si="140">IF(AC57=0,0,IF(AC59=0,$AX56/($AN57-$AN59),$AX57/$AN59))+IF(AC57=0,0,$AX60/$AN57)</f>
        <v>0</v>
      </c>
      <c r="AD202" s="121">
        <f t="shared" si="140"/>
        <v>0</v>
      </c>
      <c r="AE202" s="121">
        <f t="shared" si="140"/>
        <v>0</v>
      </c>
      <c r="AF202" s="121">
        <f t="shared" si="140"/>
        <v>0</v>
      </c>
      <c r="AG202" s="121">
        <f t="shared" si="140"/>
        <v>0</v>
      </c>
      <c r="AH202" s="121">
        <f t="shared" si="140"/>
        <v>0</v>
      </c>
      <c r="AI202" s="121">
        <f t="shared" si="140"/>
        <v>0</v>
      </c>
      <c r="AJ202" s="121">
        <f t="shared" si="140"/>
        <v>0</v>
      </c>
      <c r="AK202" s="121">
        <f t="shared" si="140"/>
        <v>0</v>
      </c>
      <c r="AL202" s="121">
        <f t="shared" si="140"/>
        <v>0</v>
      </c>
      <c r="AM202" s="121">
        <f t="shared" si="140"/>
        <v>0</v>
      </c>
      <c r="AN202" s="115"/>
      <c r="AO202" s="7"/>
      <c r="AP202" s="224"/>
      <c r="AQ202" s="224"/>
      <c r="AR202" s="224"/>
      <c r="AS202" s="224"/>
      <c r="AT202" s="224"/>
      <c r="AU202" s="224"/>
      <c r="AV202" s="224"/>
      <c r="AW202" s="93" t="s">
        <v>109</v>
      </c>
      <c r="AX202" s="108">
        <f>AN210</f>
        <v>0</v>
      </c>
      <c r="AY202" s="108">
        <f>AN221</f>
        <v>0</v>
      </c>
      <c r="AZ202" s="108">
        <f>AN232</f>
        <v>0</v>
      </c>
      <c r="BA202" s="179">
        <f>AN243</f>
        <v>0</v>
      </c>
    </row>
    <row r="203" spans="1:53">
      <c r="C203" s="164"/>
      <c r="D203" s="165"/>
      <c r="E203" s="165"/>
      <c r="F203" s="165"/>
      <c r="G203" s="165"/>
      <c r="H203" s="165"/>
      <c r="I203" s="165"/>
      <c r="J203" s="165"/>
      <c r="K203" s="165"/>
      <c r="L203" s="165"/>
      <c r="M203" s="165"/>
      <c r="N203" s="165"/>
      <c r="O203" s="165"/>
      <c r="P203" s="165"/>
      <c r="Q203" s="165"/>
      <c r="R203" s="165"/>
      <c r="S203" s="165"/>
      <c r="T203" s="165"/>
      <c r="U203" s="165"/>
      <c r="V203" s="165"/>
      <c r="Y203" s="7"/>
      <c r="Z203" s="7"/>
      <c r="AA203" s="113" t="s">
        <v>158</v>
      </c>
      <c r="AB203" s="121">
        <f>IF(AB82=0,0,IF(AB84=0,$AX81/($AN82-$AN84),$AX82/$AN84))+IF(AB82=0,0,$AX85/$AN82)</f>
        <v>0</v>
      </c>
      <c r="AC203" s="121">
        <f t="shared" ref="AC203:AM203" si="141">IF(AC82=0,0,IF(AC84=0,$AX81/($AN82-$AN84),$AX82/$AN84))+IF(AC82=0,0,$AX85/$AN82)</f>
        <v>0</v>
      </c>
      <c r="AD203" s="121">
        <f t="shared" si="141"/>
        <v>0</v>
      </c>
      <c r="AE203" s="121">
        <f t="shared" si="141"/>
        <v>0</v>
      </c>
      <c r="AF203" s="121">
        <f t="shared" si="141"/>
        <v>0</v>
      </c>
      <c r="AG203" s="121">
        <f t="shared" si="141"/>
        <v>0</v>
      </c>
      <c r="AH203" s="121">
        <f t="shared" si="141"/>
        <v>0</v>
      </c>
      <c r="AI203" s="121">
        <f t="shared" si="141"/>
        <v>0</v>
      </c>
      <c r="AJ203" s="121">
        <f t="shared" si="141"/>
        <v>0</v>
      </c>
      <c r="AK203" s="121">
        <f t="shared" si="141"/>
        <v>0</v>
      </c>
      <c r="AL203" s="121">
        <f t="shared" si="141"/>
        <v>0</v>
      </c>
      <c r="AM203" s="121">
        <f t="shared" si="141"/>
        <v>0</v>
      </c>
      <c r="AN203" s="115"/>
      <c r="AO203" s="7"/>
      <c r="AP203" s="21" t="s">
        <v>110</v>
      </c>
      <c r="AQ203" s="85">
        <f>IF(Z9+Z34+Z59+Z84+Z109+Z134+Z159+Z184=0,0,IF(IF(Z9=1,AT6,0)+IF(Z34=1,AT31,0)+IF(Z59=1,AT56,0)+IF(Z84=1,AT81,0)+IF(Z109=1,AT106,0)+IF(Z134=1,AT131,0)+IF(Z159=1,AT156,0)+IF(Z184=1,AT181,0)&lt;=(IF(C3="有",Z9,0)+Z34+Z59+Z84+Z109+Z134+Z159+Z184)*Z2+430000+100000*AQ198,5,0))</f>
        <v>0</v>
      </c>
      <c r="AR203" s="25"/>
      <c r="AS203" s="25"/>
      <c r="AT203" s="25"/>
      <c r="AU203" s="25"/>
      <c r="AV203" s="25"/>
      <c r="AW203" s="93"/>
      <c r="AX203" s="95"/>
      <c r="AY203" s="95"/>
      <c r="AZ203" s="95"/>
      <c r="BA203" s="179"/>
    </row>
    <row r="204" spans="1:53">
      <c r="C204" s="164"/>
      <c r="D204" s="165"/>
      <c r="E204" s="165"/>
      <c r="F204" s="165"/>
      <c r="G204" s="165"/>
      <c r="H204" s="165"/>
      <c r="I204" s="165"/>
      <c r="J204" s="165"/>
      <c r="K204" s="165"/>
      <c r="L204" s="165"/>
      <c r="M204" s="165"/>
      <c r="N204" s="165"/>
      <c r="O204" s="165"/>
      <c r="P204" s="165"/>
      <c r="Q204" s="165"/>
      <c r="R204" s="165"/>
      <c r="S204" s="165"/>
      <c r="T204" s="165"/>
      <c r="U204" s="165"/>
      <c r="V204" s="165"/>
      <c r="Y204" s="7"/>
      <c r="Z204" s="7"/>
      <c r="AA204" s="113" t="s">
        <v>159</v>
      </c>
      <c r="AB204" s="121">
        <f>IF(AB107=0,0,IF(AB109=0,$AX106/($AN107-$AN109),$AX107/$AN109))+IF(AB107=0,0,$AX110/$AN107)</f>
        <v>0</v>
      </c>
      <c r="AC204" s="121">
        <f t="shared" ref="AC204:AM204" si="142">IF(AC107=0,0,IF(AC109=0,$AX106/($AN107-$AN109),$AX107/$AN109))+IF(AC107=0,0,$AX110/$AN107)</f>
        <v>0</v>
      </c>
      <c r="AD204" s="121">
        <f t="shared" si="142"/>
        <v>0</v>
      </c>
      <c r="AE204" s="121">
        <f t="shared" si="142"/>
        <v>0</v>
      </c>
      <c r="AF204" s="121">
        <f t="shared" si="142"/>
        <v>0</v>
      </c>
      <c r="AG204" s="121">
        <f t="shared" si="142"/>
        <v>0</v>
      </c>
      <c r="AH204" s="121">
        <f t="shared" si="142"/>
        <v>0</v>
      </c>
      <c r="AI204" s="121">
        <f t="shared" si="142"/>
        <v>0</v>
      </c>
      <c r="AJ204" s="121">
        <f t="shared" si="142"/>
        <v>0</v>
      </c>
      <c r="AK204" s="121">
        <f t="shared" si="142"/>
        <v>0</v>
      </c>
      <c r="AL204" s="121">
        <f t="shared" si="142"/>
        <v>0</v>
      </c>
      <c r="AM204" s="121">
        <f t="shared" si="142"/>
        <v>0</v>
      </c>
      <c r="AN204" s="115"/>
      <c r="AO204" s="7"/>
      <c r="AP204" s="225"/>
      <c r="AQ204" s="225"/>
      <c r="AR204" s="225"/>
      <c r="AS204" s="225"/>
      <c r="AT204" s="225"/>
      <c r="AU204" s="225"/>
      <c r="AV204" s="225"/>
      <c r="AW204" s="93" t="s">
        <v>111</v>
      </c>
      <c r="AX204" s="110">
        <f>ROUNDDOWN(AX198-AX201-AX202,-2)</f>
        <v>0</v>
      </c>
      <c r="AY204" s="110">
        <f>ROUNDDOWN(AY198-AY201-AY202,-2)</f>
        <v>0</v>
      </c>
      <c r="AZ204" s="110">
        <f>ROUNDDOWN(AZ198-AZ201-AZ202,-2)</f>
        <v>0</v>
      </c>
      <c r="BA204" s="189">
        <f>ROUNDDOWN(BA198-BA201-BA202,-2)</f>
        <v>0</v>
      </c>
    </row>
    <row r="205" spans="1:53">
      <c r="C205" s="164"/>
      <c r="D205" s="165"/>
      <c r="E205" s="165"/>
      <c r="F205" s="165"/>
      <c r="G205" s="165"/>
      <c r="H205" s="165"/>
      <c r="I205" s="165"/>
      <c r="J205" s="165"/>
      <c r="K205" s="165"/>
      <c r="L205" s="165"/>
      <c r="M205" s="165"/>
      <c r="N205" s="165"/>
      <c r="O205" s="165"/>
      <c r="P205" s="165"/>
      <c r="Q205" s="165"/>
      <c r="R205" s="165"/>
      <c r="S205" s="165"/>
      <c r="T205" s="165"/>
      <c r="U205" s="165"/>
      <c r="V205" s="165"/>
      <c r="Y205" s="7"/>
      <c r="Z205" s="7"/>
      <c r="AA205" s="113" t="s">
        <v>160</v>
      </c>
      <c r="AB205" s="121">
        <f>IF(AB132=0,0,IF(AB134=0,$AX131/($AN132-$AN134),$AX132/$AN134))+IF(AB132=0,0,$AX135/$AN132)</f>
        <v>0</v>
      </c>
      <c r="AC205" s="121">
        <f t="shared" ref="AC205:AM205" si="143">IF(AC132=0,0,IF(AC134=0,$AX131/($AN132-$AN134),$AX132/$AN134))+IF(AC132=0,0,$AX135/$AN132)</f>
        <v>0</v>
      </c>
      <c r="AD205" s="121">
        <f t="shared" si="143"/>
        <v>0</v>
      </c>
      <c r="AE205" s="121">
        <f t="shared" si="143"/>
        <v>0</v>
      </c>
      <c r="AF205" s="121">
        <f t="shared" si="143"/>
        <v>0</v>
      </c>
      <c r="AG205" s="121">
        <f t="shared" si="143"/>
        <v>0</v>
      </c>
      <c r="AH205" s="121">
        <f t="shared" si="143"/>
        <v>0</v>
      </c>
      <c r="AI205" s="121">
        <f t="shared" si="143"/>
        <v>0</v>
      </c>
      <c r="AJ205" s="121">
        <f t="shared" si="143"/>
        <v>0</v>
      </c>
      <c r="AK205" s="121">
        <f t="shared" si="143"/>
        <v>0</v>
      </c>
      <c r="AL205" s="121">
        <f t="shared" si="143"/>
        <v>0</v>
      </c>
      <c r="AM205" s="121">
        <f t="shared" si="143"/>
        <v>0</v>
      </c>
      <c r="AN205" s="115"/>
      <c r="AO205" s="7"/>
      <c r="AP205" s="225"/>
      <c r="AQ205" s="225"/>
      <c r="AR205" s="225"/>
      <c r="AS205" s="225"/>
      <c r="AT205" s="225"/>
      <c r="AU205" s="225"/>
      <c r="AV205" s="225"/>
      <c r="AW205" s="93"/>
      <c r="AX205" s="95"/>
      <c r="AY205" s="95"/>
      <c r="AZ205" s="95"/>
      <c r="BA205" s="177"/>
    </row>
    <row r="206" spans="1:53" ht="14.25" thickBot="1">
      <c r="C206" s="164"/>
      <c r="D206" s="165"/>
      <c r="E206" s="165"/>
      <c r="F206" s="165"/>
      <c r="G206" s="165"/>
      <c r="H206" s="165"/>
      <c r="I206" s="165"/>
      <c r="J206" s="165"/>
      <c r="K206" s="165"/>
      <c r="L206" s="165"/>
      <c r="M206" s="165"/>
      <c r="N206" s="165"/>
      <c r="O206" s="165"/>
      <c r="P206" s="165"/>
      <c r="Q206" s="165"/>
      <c r="R206" s="165"/>
      <c r="S206" s="165"/>
      <c r="T206" s="165"/>
      <c r="U206" s="165"/>
      <c r="V206" s="165"/>
      <c r="Y206" s="7"/>
      <c r="Z206" s="7"/>
      <c r="AA206" s="113" t="s">
        <v>161</v>
      </c>
      <c r="AB206" s="121">
        <f>IF(AB157=0,0,IF(AB159=0,$AX156/($AN157-$AN159),$AX157/$AN159))+IF(AB157=0,0,$AX160/$AN157)</f>
        <v>0</v>
      </c>
      <c r="AC206" s="121">
        <f t="shared" ref="AC206:AM206" si="144">IF(AC157=0,0,IF(AC159=0,$AX156/($AN157-$AN159),$AX157/$AN159))+IF(AC157=0,0,$AX160/$AN157)</f>
        <v>0</v>
      </c>
      <c r="AD206" s="121">
        <f t="shared" si="144"/>
        <v>0</v>
      </c>
      <c r="AE206" s="121">
        <f t="shared" si="144"/>
        <v>0</v>
      </c>
      <c r="AF206" s="121">
        <f t="shared" si="144"/>
        <v>0</v>
      </c>
      <c r="AG206" s="121">
        <f t="shared" si="144"/>
        <v>0</v>
      </c>
      <c r="AH206" s="121">
        <f t="shared" si="144"/>
        <v>0</v>
      </c>
      <c r="AI206" s="121">
        <f t="shared" si="144"/>
        <v>0</v>
      </c>
      <c r="AJ206" s="121">
        <f t="shared" si="144"/>
        <v>0</v>
      </c>
      <c r="AK206" s="121">
        <f t="shared" si="144"/>
        <v>0</v>
      </c>
      <c r="AL206" s="121">
        <f t="shared" si="144"/>
        <v>0</v>
      </c>
      <c r="AM206" s="121">
        <f t="shared" si="144"/>
        <v>0</v>
      </c>
      <c r="AN206" s="115"/>
      <c r="AO206" s="7"/>
      <c r="AP206" s="25"/>
      <c r="AQ206" s="25"/>
      <c r="AR206" s="25"/>
      <c r="AS206" s="25"/>
      <c r="AT206" s="25"/>
      <c r="AU206" s="25"/>
      <c r="AV206" s="25"/>
      <c r="AW206" s="97" t="s">
        <v>114</v>
      </c>
      <c r="AX206" s="111">
        <f>AX204+AY204+AZ204+BA204</f>
        <v>0</v>
      </c>
      <c r="AY206" s="98"/>
      <c r="AZ206" s="98"/>
      <c r="BA206" s="178"/>
    </row>
    <row r="207" spans="1:53">
      <c r="C207" s="164"/>
      <c r="D207" s="165"/>
      <c r="E207" s="165"/>
      <c r="F207" s="165"/>
      <c r="G207" s="165"/>
      <c r="H207" s="165"/>
      <c r="I207" s="165"/>
      <c r="J207" s="165"/>
      <c r="K207" s="165"/>
      <c r="L207" s="165"/>
      <c r="M207" s="165"/>
      <c r="N207" s="165"/>
      <c r="O207" s="165"/>
      <c r="P207" s="165"/>
      <c r="Q207" s="165"/>
      <c r="R207" s="165"/>
      <c r="S207" s="165"/>
      <c r="T207" s="165"/>
      <c r="U207" s="165"/>
      <c r="V207" s="165"/>
      <c r="Y207" s="7"/>
      <c r="Z207" s="7"/>
      <c r="AA207" s="113" t="s">
        <v>162</v>
      </c>
      <c r="AB207" s="121">
        <f>IF(AB182=0,0,IF(AB184=0,$AX181/($AN182-$AN184),$AX182/$AN184))+IF(AB182=0,0,$AX185/$AN182)</f>
        <v>0</v>
      </c>
      <c r="AC207" s="121">
        <f t="shared" ref="AC207:AM207" si="145">IF(AC182=0,0,IF(AC184=0,$AX181/($AN182-$AN184),$AX182/$AN184))+IF(AC182=0,0,$AX185/$AN182)</f>
        <v>0</v>
      </c>
      <c r="AD207" s="121">
        <f t="shared" si="145"/>
        <v>0</v>
      </c>
      <c r="AE207" s="121">
        <f t="shared" si="145"/>
        <v>0</v>
      </c>
      <c r="AF207" s="121">
        <f t="shared" si="145"/>
        <v>0</v>
      </c>
      <c r="AG207" s="121">
        <f t="shared" si="145"/>
        <v>0</v>
      </c>
      <c r="AH207" s="121">
        <f t="shared" si="145"/>
        <v>0</v>
      </c>
      <c r="AI207" s="121">
        <f t="shared" si="145"/>
        <v>0</v>
      </c>
      <c r="AJ207" s="121">
        <f t="shared" si="145"/>
        <v>0</v>
      </c>
      <c r="AK207" s="121">
        <f t="shared" si="145"/>
        <v>0</v>
      </c>
      <c r="AL207" s="121">
        <f t="shared" si="145"/>
        <v>0</v>
      </c>
      <c r="AM207" s="121">
        <f t="shared" si="145"/>
        <v>0</v>
      </c>
      <c r="AN207" s="115"/>
      <c r="AO207" s="7"/>
      <c r="AP207" s="21" t="s">
        <v>116</v>
      </c>
      <c r="AQ207" s="80">
        <f>IF(Z9+Z34+Z59+Z84+Z109+Z134+Z159+Z184=0,0,IF(Z34+Z59+Z84+Z109+Z134+Z159+Z184=0,IF(AT6+AT31+AT56+AT81+AT106+AT131+AT156+AT181&lt;=(IF(C3="有",Z9,0)+Z34+Z59+Z84+Z109+Z134+Z159+Z184)*Z3+430000+100000*AQ198,2,0),IF(AT6+AT31+AT56+AT81+AT106+AT131+AT156+AT181&lt;=(IF(C3="有",Z9,0)+Z34+Z59+Z84+Z109+Z134+Z159+Z184)*Z3+430000+100000*AQ198,2,0)))</f>
        <v>0</v>
      </c>
      <c r="AR207" s="25"/>
      <c r="AS207" s="25"/>
      <c r="AT207" s="25"/>
      <c r="AU207" s="25"/>
      <c r="AV207" s="25"/>
      <c r="AW207" s="56"/>
      <c r="AX207" s="56"/>
      <c r="AY207" s="56"/>
      <c r="AZ207" s="56"/>
    </row>
    <row r="208" spans="1:53">
      <c r="C208" s="164"/>
      <c r="D208" s="165"/>
      <c r="E208" s="165"/>
      <c r="F208" s="165"/>
      <c r="G208" s="165"/>
      <c r="H208" s="165"/>
      <c r="I208" s="165"/>
      <c r="J208" s="165"/>
      <c r="K208" s="165"/>
      <c r="L208" s="165"/>
      <c r="M208" s="165"/>
      <c r="N208" s="165"/>
      <c r="O208" s="165"/>
      <c r="P208" s="165"/>
      <c r="Q208" s="165"/>
      <c r="R208" s="165"/>
      <c r="S208" s="165"/>
      <c r="T208" s="165"/>
      <c r="U208" s="165"/>
      <c r="V208" s="165"/>
      <c r="Y208" s="7"/>
      <c r="Z208" s="7" t="s">
        <v>98</v>
      </c>
      <c r="AA208" s="7"/>
      <c r="AB208" s="121">
        <f>IF(AB198=0,0,IF(AND(AB198=1,$AV$201=0),$AG$4/12,($AG$4*(10-$AV$201)*0.1)/12))</f>
        <v>0</v>
      </c>
      <c r="AC208" s="121">
        <f>IF(AC198=0,0,IF(AND(AC198=1,$AV$201=0),$AG$4/12,($AG$4*(10-$AV$201)*0.1)/12))</f>
        <v>0</v>
      </c>
      <c r="AD208" s="121">
        <f>IF(AD198=0,0,IF(AND(AD198=1,$AV$201=0),$AG$4/12,($AG$4*(10-$AV$201)*0.1)/12))</f>
        <v>0</v>
      </c>
      <c r="AE208" s="121">
        <f>IF(AE198=0,0,IF(AND(AE198=1,$AV$201=0),$AG$4/12,($AG$4*(10-$AV$201)*0.1)/12))</f>
        <v>0</v>
      </c>
      <c r="AF208" s="121">
        <f t="shared" ref="AF208:AM208" si="146">IF(AF198=0,0,IF(AND(AF198=1,$AV$201=0),$AG$4/12,($AG$4*(10-$AV$201)*0.1)/12))</f>
        <v>0</v>
      </c>
      <c r="AG208" s="121">
        <f t="shared" si="146"/>
        <v>0</v>
      </c>
      <c r="AH208" s="121">
        <f t="shared" si="146"/>
        <v>0</v>
      </c>
      <c r="AI208" s="121">
        <f t="shared" si="146"/>
        <v>0</v>
      </c>
      <c r="AJ208" s="121">
        <f t="shared" si="146"/>
        <v>0</v>
      </c>
      <c r="AK208" s="121">
        <f t="shared" si="146"/>
        <v>0</v>
      </c>
      <c r="AL208" s="121">
        <f t="shared" si="146"/>
        <v>0</v>
      </c>
      <c r="AM208" s="121">
        <f t="shared" si="146"/>
        <v>0</v>
      </c>
      <c r="AN208" s="115"/>
      <c r="AO208" s="7"/>
      <c r="AP208" s="226"/>
      <c r="AQ208" s="226"/>
      <c r="AR208" s="226"/>
      <c r="AS208" s="226"/>
      <c r="AT208" s="226"/>
      <c r="AU208" s="226"/>
      <c r="AV208" s="226"/>
      <c r="AW208" s="7"/>
      <c r="AX208" s="7"/>
      <c r="AY208" s="7"/>
      <c r="AZ208" s="7"/>
    </row>
    <row r="209" spans="25:52">
      <c r="Y209" s="7"/>
      <c r="Z209" s="7" t="s">
        <v>112</v>
      </c>
      <c r="AA209" s="7"/>
      <c r="AB209" s="116">
        <f>$AJ$2/12</f>
        <v>55833.333333333336</v>
      </c>
      <c r="AC209" s="116">
        <f t="shared" ref="AC209:AM209" si="147">$AJ$2/12</f>
        <v>55833.333333333336</v>
      </c>
      <c r="AD209" s="116">
        <f t="shared" si="147"/>
        <v>55833.333333333336</v>
      </c>
      <c r="AE209" s="116">
        <f t="shared" si="147"/>
        <v>55833.333333333336</v>
      </c>
      <c r="AF209" s="116">
        <f t="shared" si="147"/>
        <v>55833.333333333336</v>
      </c>
      <c r="AG209" s="116">
        <f t="shared" si="147"/>
        <v>55833.333333333336</v>
      </c>
      <c r="AH209" s="116">
        <f t="shared" si="147"/>
        <v>55833.333333333336</v>
      </c>
      <c r="AI209" s="116">
        <f t="shared" si="147"/>
        <v>55833.333333333336</v>
      </c>
      <c r="AJ209" s="116">
        <f t="shared" si="147"/>
        <v>55833.333333333336</v>
      </c>
      <c r="AK209" s="116">
        <f t="shared" si="147"/>
        <v>55833.333333333336</v>
      </c>
      <c r="AL209" s="116">
        <f t="shared" si="147"/>
        <v>55833.333333333336</v>
      </c>
      <c r="AM209" s="116">
        <f t="shared" si="147"/>
        <v>55833.333333333336</v>
      </c>
      <c r="AN209" s="115" t="s">
        <v>113</v>
      </c>
      <c r="AO209" s="7"/>
      <c r="AP209" s="25"/>
      <c r="AQ209" s="25"/>
      <c r="AR209" s="25"/>
      <c r="AS209" s="25"/>
      <c r="AT209" s="25"/>
      <c r="AU209" s="25"/>
      <c r="AV209" s="25"/>
      <c r="AW209" s="7"/>
      <c r="AX209" s="7"/>
      <c r="AY209" s="7"/>
      <c r="AZ209" s="7"/>
    </row>
    <row r="210" spans="25:52">
      <c r="Y210" s="7"/>
      <c r="Z210" s="7" t="s">
        <v>115</v>
      </c>
      <c r="AA210" s="7"/>
      <c r="AB210" s="116">
        <f>IF(SUM(AB200:AB208)-AB209&lt;0,0,SUM(AB200:AB208)-AB209)</f>
        <v>0</v>
      </c>
      <c r="AC210" s="116">
        <f>IF(SUM(AC200:AC208)-AC209&lt;0,0,SUM(AC200:AC208)-AC209)</f>
        <v>0</v>
      </c>
      <c r="AD210" s="116">
        <f>IF(SUM(AD200:AD208)-AD209&lt;0,0,SUM(AD200:AD208)-AD209)</f>
        <v>0</v>
      </c>
      <c r="AE210" s="116">
        <f>IF(SUM(AE200:AE208)-AE209&lt;0,0,SUM(AE200:AE208)-AE209)</f>
        <v>0</v>
      </c>
      <c r="AF210" s="116">
        <f t="shared" ref="AF210:AL210" si="148">IF(SUM(AF200:AF208)-AF209&lt;0,0,SUM(AF200:AF208)-AF209)</f>
        <v>0</v>
      </c>
      <c r="AG210" s="116">
        <f t="shared" si="148"/>
        <v>0</v>
      </c>
      <c r="AH210" s="116">
        <f t="shared" si="148"/>
        <v>0</v>
      </c>
      <c r="AI210" s="116">
        <f t="shared" si="148"/>
        <v>0</v>
      </c>
      <c r="AJ210" s="116">
        <f t="shared" si="148"/>
        <v>0</v>
      </c>
      <c r="AK210" s="116">
        <f t="shared" si="148"/>
        <v>0</v>
      </c>
      <c r="AL210" s="116">
        <f t="shared" si="148"/>
        <v>0</v>
      </c>
      <c r="AM210" s="116">
        <f>IF(SUM(AM200:AM208)-AM209&lt;0,0,SUM(AM200:AM208)-AM209)</f>
        <v>0</v>
      </c>
      <c r="AN210" s="116">
        <f>ROUNDDOWN(SUM(AB210:AM210),0)</f>
        <v>0</v>
      </c>
      <c r="AO210" s="7"/>
      <c r="AP210" s="86" t="s">
        <v>118</v>
      </c>
      <c r="AQ210" s="86">
        <v>0</v>
      </c>
      <c r="AR210" s="25"/>
      <c r="AS210" s="25"/>
      <c r="AT210" s="25"/>
      <c r="AU210" s="25"/>
      <c r="AV210" s="25"/>
      <c r="AW210" s="7"/>
      <c r="AX210" s="7"/>
      <c r="AY210" s="7"/>
      <c r="AZ210" s="7"/>
    </row>
    <row r="211" spans="25:52">
      <c r="Y211" s="7" t="s">
        <v>117</v>
      </c>
      <c r="Z211" s="7"/>
      <c r="AA211" s="113" t="s">
        <v>155</v>
      </c>
      <c r="AB211" s="124">
        <f>IF(AB7&lt;&gt;1,0,IF(AB9&lt;&gt;1,$AY6/($AN7-$AN9),$AY7/$AN9))+IF(AB7&lt;&gt;1,0,$AY10/$AN7)</f>
        <v>0</v>
      </c>
      <c r="AC211" s="124">
        <f t="shared" ref="AC211:AM211" si="149">IF(AC7&lt;&gt;1,0,IF(AC9&lt;&gt;1,$AY6/($AN7-$AN9),$AY7/$AN9))+IF(AC7&lt;&gt;1,0,$AY10/$AN7)</f>
        <v>0</v>
      </c>
      <c r="AD211" s="124">
        <f t="shared" si="149"/>
        <v>0</v>
      </c>
      <c r="AE211" s="124">
        <f t="shared" si="149"/>
        <v>0</v>
      </c>
      <c r="AF211" s="124">
        <f t="shared" si="149"/>
        <v>0</v>
      </c>
      <c r="AG211" s="124">
        <f t="shared" si="149"/>
        <v>0</v>
      </c>
      <c r="AH211" s="124">
        <f t="shared" si="149"/>
        <v>0</v>
      </c>
      <c r="AI211" s="124">
        <f t="shared" si="149"/>
        <v>0</v>
      </c>
      <c r="AJ211" s="124">
        <f t="shared" si="149"/>
        <v>0</v>
      </c>
      <c r="AK211" s="124">
        <f t="shared" si="149"/>
        <v>0</v>
      </c>
      <c r="AL211" s="124">
        <f t="shared" si="149"/>
        <v>0</v>
      </c>
      <c r="AM211" s="124">
        <f t="shared" si="149"/>
        <v>0</v>
      </c>
      <c r="AN211" s="115"/>
      <c r="AO211" s="7"/>
      <c r="AP211" s="25"/>
      <c r="AQ211" s="25"/>
      <c r="AR211" s="25"/>
      <c r="AS211" s="25"/>
      <c r="AT211" s="25"/>
      <c r="AU211" s="25"/>
      <c r="AV211" s="25"/>
      <c r="AW211" s="7"/>
      <c r="AX211" s="7"/>
      <c r="AY211" s="7"/>
      <c r="AZ211" s="7"/>
    </row>
    <row r="212" spans="25:52">
      <c r="Y212" s="7"/>
      <c r="Z212" s="7"/>
      <c r="AA212" s="113" t="s">
        <v>156</v>
      </c>
      <c r="AB212" s="124">
        <f>IF(AB32=0,0,IF(AB34=0,$AY31/($AN32-$AN34),$AY32/$AN34))+IF(AB32=0,0,$AY35/$AN32)</f>
        <v>0</v>
      </c>
      <c r="AC212" s="124">
        <f t="shared" ref="AC212:AM212" si="150">IF(AC32=0,0,IF(AC34=0,$AY31/($AN32-$AN34),$AY32/$AN34))+IF(AC32=0,0,$AY35/$AN32)</f>
        <v>0</v>
      </c>
      <c r="AD212" s="124">
        <f t="shared" si="150"/>
        <v>0</v>
      </c>
      <c r="AE212" s="124">
        <f t="shared" si="150"/>
        <v>0</v>
      </c>
      <c r="AF212" s="124">
        <f t="shared" si="150"/>
        <v>0</v>
      </c>
      <c r="AG212" s="124">
        <f t="shared" si="150"/>
        <v>0</v>
      </c>
      <c r="AH212" s="124">
        <f t="shared" si="150"/>
        <v>0</v>
      </c>
      <c r="AI212" s="124">
        <f t="shared" si="150"/>
        <v>0</v>
      </c>
      <c r="AJ212" s="124">
        <f t="shared" si="150"/>
        <v>0</v>
      </c>
      <c r="AK212" s="124">
        <f t="shared" si="150"/>
        <v>0</v>
      </c>
      <c r="AL212" s="124">
        <f t="shared" si="150"/>
        <v>0</v>
      </c>
      <c r="AM212" s="124">
        <f t="shared" si="150"/>
        <v>0</v>
      </c>
      <c r="AN212" s="115"/>
      <c r="AO212" s="7"/>
      <c r="AP212" s="25"/>
      <c r="AQ212" s="25"/>
      <c r="AR212" s="25"/>
      <c r="AS212" s="25"/>
      <c r="AT212" s="25"/>
      <c r="AU212" s="25"/>
      <c r="AV212" s="25"/>
      <c r="AW212" s="7"/>
      <c r="AX212" s="7"/>
      <c r="AY212" s="7"/>
      <c r="AZ212" s="7"/>
    </row>
    <row r="213" spans="25:52">
      <c r="Y213" s="7"/>
      <c r="Z213" s="7"/>
      <c r="AA213" s="113" t="s">
        <v>157</v>
      </c>
      <c r="AB213" s="124">
        <f>IF(AB57=0,0,IF(AB59=0,$AY56/($AN57-$AN59),$AY57/$AN59))+IF(AB57=0,0,$AY60/$AN57)</f>
        <v>0</v>
      </c>
      <c r="AC213" s="124">
        <f t="shared" ref="AC213:AM213" si="151">IF(AC57=0,0,IF(AC59=0,$AY56/($AN57-$AN59),$AY57/$AN59))+IF(AC57=0,0,$AY60/$AN57)</f>
        <v>0</v>
      </c>
      <c r="AD213" s="124">
        <f t="shared" si="151"/>
        <v>0</v>
      </c>
      <c r="AE213" s="124">
        <f t="shared" si="151"/>
        <v>0</v>
      </c>
      <c r="AF213" s="124">
        <f t="shared" si="151"/>
        <v>0</v>
      </c>
      <c r="AG213" s="124">
        <f t="shared" si="151"/>
        <v>0</v>
      </c>
      <c r="AH213" s="124">
        <f t="shared" si="151"/>
        <v>0</v>
      </c>
      <c r="AI213" s="124">
        <f t="shared" si="151"/>
        <v>0</v>
      </c>
      <c r="AJ213" s="124">
        <f t="shared" si="151"/>
        <v>0</v>
      </c>
      <c r="AK213" s="124">
        <f t="shared" si="151"/>
        <v>0</v>
      </c>
      <c r="AL213" s="124">
        <f t="shared" si="151"/>
        <v>0</v>
      </c>
      <c r="AM213" s="124">
        <f t="shared" si="151"/>
        <v>0</v>
      </c>
      <c r="AN213" s="115"/>
      <c r="AO213" s="7"/>
      <c r="AP213" s="7"/>
      <c r="AQ213" s="7"/>
      <c r="AR213" s="7"/>
      <c r="AS213" s="7"/>
      <c r="AT213" s="7"/>
      <c r="AU213" s="7"/>
      <c r="AV213" s="7"/>
      <c r="AW213" s="7"/>
      <c r="AX213" s="7"/>
      <c r="AY213" s="7"/>
      <c r="AZ213" s="7"/>
    </row>
    <row r="214" spans="25:52">
      <c r="Y214" s="7"/>
      <c r="Z214" s="7"/>
      <c r="AA214" s="113" t="s">
        <v>158</v>
      </c>
      <c r="AB214" s="124">
        <f>IF(AB82=0,0,IF(AB84=0,$AY81/($AN82-$AN84),$AY82/$AN84))+IF(AB82=0,0,$AY85/$AN82)</f>
        <v>0</v>
      </c>
      <c r="AC214" s="124">
        <f t="shared" ref="AC214:AM214" si="152">IF(AC82=0,0,IF(AC84=0,$AY81/($AN82-$AN84),$AY82/$AN84))+IF(AC82=0,0,$AY85/$AN82)</f>
        <v>0</v>
      </c>
      <c r="AD214" s="124">
        <f t="shared" si="152"/>
        <v>0</v>
      </c>
      <c r="AE214" s="124">
        <f t="shared" si="152"/>
        <v>0</v>
      </c>
      <c r="AF214" s="124">
        <f t="shared" si="152"/>
        <v>0</v>
      </c>
      <c r="AG214" s="124">
        <f t="shared" si="152"/>
        <v>0</v>
      </c>
      <c r="AH214" s="124">
        <f t="shared" si="152"/>
        <v>0</v>
      </c>
      <c r="AI214" s="124">
        <f t="shared" si="152"/>
        <v>0</v>
      </c>
      <c r="AJ214" s="124">
        <f t="shared" si="152"/>
        <v>0</v>
      </c>
      <c r="AK214" s="124">
        <f t="shared" si="152"/>
        <v>0</v>
      </c>
      <c r="AL214" s="124">
        <f t="shared" si="152"/>
        <v>0</v>
      </c>
      <c r="AM214" s="124">
        <f t="shared" si="152"/>
        <v>0</v>
      </c>
      <c r="AN214" s="115"/>
      <c r="AO214" s="7"/>
      <c r="AP214" s="7"/>
      <c r="AQ214" s="7"/>
      <c r="AR214" s="7"/>
      <c r="AS214" s="7"/>
      <c r="AT214" s="7"/>
      <c r="AU214" s="7"/>
      <c r="AV214" s="7"/>
      <c r="AW214" s="7"/>
      <c r="AX214" s="7"/>
      <c r="AY214" s="7"/>
      <c r="AZ214" s="7"/>
    </row>
    <row r="215" spans="25:52">
      <c r="Y215" s="7"/>
      <c r="Z215" s="7"/>
      <c r="AA215" s="113" t="s">
        <v>159</v>
      </c>
      <c r="AB215" s="124">
        <f>IF(AB107=0,0,IF(AB109=0,$AY106/($AN107-$AN109),$AY107/$AN109))+IF(AB107=0,0,$AY110/$AN107)</f>
        <v>0</v>
      </c>
      <c r="AC215" s="124">
        <f t="shared" ref="AC215:AM215" si="153">IF(AC107=0,0,IF(AC109=0,$AY106/($AN107-$AN109),$AY107/$AN109))+IF(AC107=0,0,$AY110/$AN107)</f>
        <v>0</v>
      </c>
      <c r="AD215" s="124">
        <f t="shared" si="153"/>
        <v>0</v>
      </c>
      <c r="AE215" s="124">
        <f t="shared" si="153"/>
        <v>0</v>
      </c>
      <c r="AF215" s="124">
        <f t="shared" si="153"/>
        <v>0</v>
      </c>
      <c r="AG215" s="124">
        <f t="shared" si="153"/>
        <v>0</v>
      </c>
      <c r="AH215" s="124">
        <f t="shared" si="153"/>
        <v>0</v>
      </c>
      <c r="AI215" s="124">
        <f t="shared" si="153"/>
        <v>0</v>
      </c>
      <c r="AJ215" s="124">
        <f t="shared" si="153"/>
        <v>0</v>
      </c>
      <c r="AK215" s="124">
        <f t="shared" si="153"/>
        <v>0</v>
      </c>
      <c r="AL215" s="124">
        <f t="shared" si="153"/>
        <v>0</v>
      </c>
      <c r="AM215" s="124">
        <f t="shared" si="153"/>
        <v>0</v>
      </c>
      <c r="AN215" s="115"/>
      <c r="AO215" s="7"/>
      <c r="AP215" s="7" t="s">
        <v>119</v>
      </c>
      <c r="AQ215" s="7"/>
      <c r="AR215" s="7"/>
      <c r="AS215" s="7"/>
      <c r="AT215" s="7"/>
      <c r="AU215" s="7"/>
      <c r="AV215" s="7"/>
      <c r="AW215" s="7"/>
      <c r="AX215" s="7"/>
      <c r="AY215" s="7"/>
      <c r="AZ215" s="7"/>
    </row>
    <row r="216" spans="25:52">
      <c r="Y216" s="7"/>
      <c r="Z216" s="7"/>
      <c r="AA216" s="113" t="s">
        <v>160</v>
      </c>
      <c r="AB216" s="124">
        <f>IF(AB132=0,0,IF(AB134=0,$AY131/($AN132-$AN134),$AY132/$AN134))+IF(AB132=0,0,$AY135/$AN132)</f>
        <v>0</v>
      </c>
      <c r="AC216" s="124">
        <f t="shared" ref="AC216:AM216" si="154">IF(AC132=0,0,IF(AC134=0,$AY131/($AN132-$AN134),$AY132/$AN134))+IF(AC132=0,0,$AY135/$AN132)</f>
        <v>0</v>
      </c>
      <c r="AD216" s="124">
        <f t="shared" si="154"/>
        <v>0</v>
      </c>
      <c r="AE216" s="124">
        <f t="shared" si="154"/>
        <v>0</v>
      </c>
      <c r="AF216" s="124">
        <f t="shared" si="154"/>
        <v>0</v>
      </c>
      <c r="AG216" s="124">
        <f t="shared" si="154"/>
        <v>0</v>
      </c>
      <c r="AH216" s="124">
        <f t="shared" si="154"/>
        <v>0</v>
      </c>
      <c r="AI216" s="124">
        <f t="shared" si="154"/>
        <v>0</v>
      </c>
      <c r="AJ216" s="124">
        <f t="shared" si="154"/>
        <v>0</v>
      </c>
      <c r="AK216" s="124">
        <f t="shared" si="154"/>
        <v>0</v>
      </c>
      <c r="AL216" s="124">
        <f t="shared" si="154"/>
        <v>0</v>
      </c>
      <c r="AM216" s="124">
        <f t="shared" si="154"/>
        <v>0</v>
      </c>
      <c r="AN216" s="115"/>
      <c r="AO216" s="7"/>
      <c r="AP216" s="25" t="s">
        <v>121</v>
      </c>
      <c r="AQ216" s="7"/>
      <c r="AR216" s="7"/>
      <c r="AS216" s="7"/>
      <c r="AT216" s="7"/>
      <c r="AU216" s="7"/>
      <c r="AV216" s="7"/>
      <c r="AW216" s="7"/>
      <c r="AX216" s="7"/>
      <c r="AY216" s="7"/>
      <c r="AZ216" s="7"/>
    </row>
    <row r="217" spans="25:52">
      <c r="Y217" s="7"/>
      <c r="Z217" s="7"/>
      <c r="AA217" s="113" t="s">
        <v>161</v>
      </c>
      <c r="AB217" s="124">
        <f>IF(AB157=0,0,IF(AB159=0,$AY156/($AN157-$AN159),$AY157/$AN159))+IF(AB157=0,0,$AY160/$AN157)</f>
        <v>0</v>
      </c>
      <c r="AC217" s="124">
        <f t="shared" ref="AC217:AM217" si="155">IF(AC157=0,0,IF(AC159=0,$AY156/($AN157-$AN159),$AY157/$AN159))+IF(AC157=0,0,$AY160/$AN157)</f>
        <v>0</v>
      </c>
      <c r="AD217" s="124">
        <f t="shared" si="155"/>
        <v>0</v>
      </c>
      <c r="AE217" s="124">
        <f t="shared" si="155"/>
        <v>0</v>
      </c>
      <c r="AF217" s="124">
        <f t="shared" si="155"/>
        <v>0</v>
      </c>
      <c r="AG217" s="124">
        <f t="shared" si="155"/>
        <v>0</v>
      </c>
      <c r="AH217" s="124">
        <f t="shared" si="155"/>
        <v>0</v>
      </c>
      <c r="AI217" s="124">
        <f t="shared" si="155"/>
        <v>0</v>
      </c>
      <c r="AJ217" s="124">
        <f t="shared" si="155"/>
        <v>0</v>
      </c>
      <c r="AK217" s="124">
        <f t="shared" si="155"/>
        <v>0</v>
      </c>
      <c r="AL217" s="124">
        <f t="shared" si="155"/>
        <v>0</v>
      </c>
      <c r="AM217" s="124">
        <f t="shared" si="155"/>
        <v>0</v>
      </c>
      <c r="AN217" s="115"/>
      <c r="AO217" s="7"/>
      <c r="AP217" s="7" t="s">
        <v>122</v>
      </c>
      <c r="AQ217" s="7"/>
      <c r="AR217" s="7"/>
      <c r="AS217" s="7"/>
      <c r="AT217" s="7"/>
      <c r="AU217" s="7"/>
      <c r="AV217" s="7"/>
      <c r="AW217" s="7"/>
      <c r="AX217" s="7"/>
      <c r="AY217" s="7"/>
      <c r="AZ217" s="7"/>
    </row>
    <row r="218" spans="25:52">
      <c r="Y218" s="7"/>
      <c r="Z218" s="7"/>
      <c r="AA218" s="113" t="s">
        <v>162</v>
      </c>
      <c r="AB218" s="124">
        <f>IF(AB182=0,0,IF(AB184=0,$AY181/($AN182-$AN184),$AY182/$AN184))+IF(AB182=0,0,$AY185/$AN182)</f>
        <v>0</v>
      </c>
      <c r="AC218" s="124">
        <f t="shared" ref="AC218:AM218" si="156">IF(AC182=0,0,IF(AC184=0,$AY181/($AN182-$AN184),$AY182/$AN184))+IF(AC182=0,0,$AY185/$AN182)</f>
        <v>0</v>
      </c>
      <c r="AD218" s="124">
        <f t="shared" si="156"/>
        <v>0</v>
      </c>
      <c r="AE218" s="124">
        <f t="shared" si="156"/>
        <v>0</v>
      </c>
      <c r="AF218" s="124">
        <f t="shared" si="156"/>
        <v>0</v>
      </c>
      <c r="AG218" s="124">
        <f t="shared" si="156"/>
        <v>0</v>
      </c>
      <c r="AH218" s="124">
        <f t="shared" si="156"/>
        <v>0</v>
      </c>
      <c r="AI218" s="124">
        <f t="shared" si="156"/>
        <v>0</v>
      </c>
      <c r="AJ218" s="124">
        <f t="shared" si="156"/>
        <v>0</v>
      </c>
      <c r="AK218" s="124">
        <f t="shared" si="156"/>
        <v>0</v>
      </c>
      <c r="AL218" s="124">
        <f t="shared" si="156"/>
        <v>0</v>
      </c>
      <c r="AM218" s="124">
        <f t="shared" si="156"/>
        <v>0</v>
      </c>
      <c r="AN218" s="115"/>
      <c r="AO218" s="7"/>
      <c r="AP218" s="7" t="s">
        <v>143</v>
      </c>
      <c r="AQ218" s="7"/>
      <c r="AR218" s="7"/>
      <c r="AS218" s="7"/>
      <c r="AT218" s="7"/>
      <c r="AU218" s="7"/>
      <c r="AV218" s="7"/>
      <c r="AW218" s="7"/>
      <c r="AX218" s="7"/>
      <c r="AY218" s="7"/>
      <c r="AZ218" s="7"/>
    </row>
    <row r="219" spans="25:52">
      <c r="Y219" s="7"/>
      <c r="Z219" s="7" t="s">
        <v>98</v>
      </c>
      <c r="AA219" s="7"/>
      <c r="AB219" s="124">
        <f>IF(AB198=0,0,IF(AND(AB198=1,$AV$201=0),$AH$4/12,($AH$4*(10-$AV$201)*0.1)/12))</f>
        <v>0</v>
      </c>
      <c r="AC219" s="124">
        <f t="shared" ref="AC219:AM219" si="157">IF(AC198=0,0,IF(AND(AC198=1,$AV$201=0),$AH$4/12,($AH$4*(10-$AV$201)*0.1)/12))</f>
        <v>0</v>
      </c>
      <c r="AD219" s="124">
        <f t="shared" si="157"/>
        <v>0</v>
      </c>
      <c r="AE219" s="124">
        <f t="shared" si="157"/>
        <v>0</v>
      </c>
      <c r="AF219" s="124">
        <f t="shared" si="157"/>
        <v>0</v>
      </c>
      <c r="AG219" s="124">
        <f t="shared" si="157"/>
        <v>0</v>
      </c>
      <c r="AH219" s="124">
        <f t="shared" si="157"/>
        <v>0</v>
      </c>
      <c r="AI219" s="124">
        <f>IF(AI198=0,0,IF(AND(AI198=1,$AV$201=0),$AH$4/12,($AH$4*(10-$AV$201)*0.1)/12))</f>
        <v>0</v>
      </c>
      <c r="AJ219" s="124">
        <f>IF(AJ198=0,0,IF(AND(AJ198=1,$AV$201=0),$AH$4/12,($AH$4*(10-$AV$201)*0.1)/12))</f>
        <v>0</v>
      </c>
      <c r="AK219" s="124">
        <f t="shared" si="157"/>
        <v>0</v>
      </c>
      <c r="AL219" s="124">
        <f t="shared" si="157"/>
        <v>0</v>
      </c>
      <c r="AM219" s="124">
        <f t="shared" si="157"/>
        <v>0</v>
      </c>
      <c r="AN219" s="115"/>
      <c r="AO219" s="7"/>
      <c r="AP219" s="7"/>
      <c r="AQ219" s="7"/>
      <c r="AR219" s="7"/>
      <c r="AS219" s="7"/>
      <c r="AT219" s="7"/>
      <c r="AU219" s="7"/>
      <c r="AV219" s="7"/>
      <c r="AW219" s="7"/>
      <c r="AX219" s="7"/>
      <c r="AY219" s="7"/>
      <c r="AZ219" s="7"/>
    </row>
    <row r="220" spans="25:52">
      <c r="Y220" s="7"/>
      <c r="Z220" s="7" t="s">
        <v>112</v>
      </c>
      <c r="AA220" s="7"/>
      <c r="AB220" s="117">
        <f>$AK$2/12</f>
        <v>21666.666666666668</v>
      </c>
      <c r="AC220" s="117">
        <f t="shared" ref="AC220:AM220" si="158">$AK$2/12</f>
        <v>21666.666666666668</v>
      </c>
      <c r="AD220" s="117">
        <f t="shared" si="158"/>
        <v>21666.666666666668</v>
      </c>
      <c r="AE220" s="117">
        <f t="shared" si="158"/>
        <v>21666.666666666668</v>
      </c>
      <c r="AF220" s="117">
        <f t="shared" si="158"/>
        <v>21666.666666666668</v>
      </c>
      <c r="AG220" s="117">
        <f t="shared" si="158"/>
        <v>21666.666666666668</v>
      </c>
      <c r="AH220" s="117">
        <f t="shared" si="158"/>
        <v>21666.666666666668</v>
      </c>
      <c r="AI220" s="117">
        <f t="shared" si="158"/>
        <v>21666.666666666668</v>
      </c>
      <c r="AJ220" s="117">
        <f t="shared" si="158"/>
        <v>21666.666666666668</v>
      </c>
      <c r="AK220" s="117">
        <f t="shared" si="158"/>
        <v>21666.666666666668</v>
      </c>
      <c r="AL220" s="117">
        <f t="shared" si="158"/>
        <v>21666.666666666668</v>
      </c>
      <c r="AM220" s="117">
        <f t="shared" si="158"/>
        <v>21666.666666666668</v>
      </c>
      <c r="AN220" s="115" t="s">
        <v>113</v>
      </c>
      <c r="AO220" s="7"/>
      <c r="AP220" s="7"/>
      <c r="AQ220" s="7"/>
      <c r="AR220" s="7"/>
      <c r="AS220" s="7"/>
      <c r="AT220" s="7"/>
      <c r="AU220" s="7"/>
      <c r="AV220" s="7"/>
      <c r="AW220" s="7"/>
      <c r="AX220" s="7"/>
      <c r="AY220" s="7"/>
      <c r="AZ220" s="7"/>
    </row>
    <row r="221" spans="25:52">
      <c r="Y221" s="7"/>
      <c r="Z221" s="7" t="s">
        <v>115</v>
      </c>
      <c r="AA221" s="7"/>
      <c r="AB221" s="117">
        <f>IF(SUM(AB211:AB219)-AB220&lt;0,0,SUM(AB211:AB219)-AB220)</f>
        <v>0</v>
      </c>
      <c r="AC221" s="117">
        <f t="shared" ref="AC221:AM221" si="159">IF(SUM(AC211:AC219)-AC220&lt;0,0,SUM(AC211:AC219)-AC220)</f>
        <v>0</v>
      </c>
      <c r="AD221" s="117">
        <f t="shared" si="159"/>
        <v>0</v>
      </c>
      <c r="AE221" s="117">
        <f t="shared" si="159"/>
        <v>0</v>
      </c>
      <c r="AF221" s="117">
        <f t="shared" si="159"/>
        <v>0</v>
      </c>
      <c r="AG221" s="117">
        <f t="shared" si="159"/>
        <v>0</v>
      </c>
      <c r="AH221" s="117">
        <f t="shared" si="159"/>
        <v>0</v>
      </c>
      <c r="AI221" s="117">
        <f t="shared" si="159"/>
        <v>0</v>
      </c>
      <c r="AJ221" s="117">
        <f t="shared" si="159"/>
        <v>0</v>
      </c>
      <c r="AK221" s="117">
        <f t="shared" si="159"/>
        <v>0</v>
      </c>
      <c r="AL221" s="117">
        <f t="shared" si="159"/>
        <v>0</v>
      </c>
      <c r="AM221" s="117">
        <f t="shared" si="159"/>
        <v>0</v>
      </c>
      <c r="AN221" s="117">
        <f>ROUNDDOWN(SUM(AB221:AM221),0)</f>
        <v>0</v>
      </c>
      <c r="AO221" s="7"/>
      <c r="AP221" s="7"/>
      <c r="AQ221" s="7"/>
      <c r="AR221" s="7"/>
      <c r="AS221" s="7"/>
      <c r="AT221" s="7"/>
      <c r="AU221" s="7"/>
      <c r="AV221" s="7"/>
      <c r="AW221" s="7"/>
      <c r="AX221" s="7"/>
      <c r="AY221" s="7"/>
      <c r="AZ221" s="7"/>
    </row>
    <row r="222" spans="25:52">
      <c r="Y222" s="7" t="s">
        <v>120</v>
      </c>
      <c r="Z222" s="7"/>
      <c r="AA222" s="113" t="s">
        <v>155</v>
      </c>
      <c r="AB222" s="124">
        <f>IF(AB6&lt;&gt;1,0,IF(AB8&lt;&gt;1,$AZ6/($AN6-$AN8),$AZ7/$AN8))+IF(AB6&lt;&gt;1,0,$AZ10/$AN6)</f>
        <v>0</v>
      </c>
      <c r="AC222" s="124">
        <f t="shared" ref="AC222:AM222" si="160">IF(AC6&lt;&gt;1,0,IF(AC8&lt;&gt;1,$AZ6/($AN6-$AN8),$AZ7/$AN8))+IF(AC6&lt;&gt;1,0,$AZ10/$AN6)</f>
        <v>0</v>
      </c>
      <c r="AD222" s="124">
        <f t="shared" si="160"/>
        <v>0</v>
      </c>
      <c r="AE222" s="124">
        <f t="shared" si="160"/>
        <v>0</v>
      </c>
      <c r="AF222" s="124">
        <f t="shared" si="160"/>
        <v>0</v>
      </c>
      <c r="AG222" s="124">
        <f t="shared" si="160"/>
        <v>0</v>
      </c>
      <c r="AH222" s="124">
        <f t="shared" si="160"/>
        <v>0</v>
      </c>
      <c r="AI222" s="124">
        <f t="shared" si="160"/>
        <v>0</v>
      </c>
      <c r="AJ222" s="124">
        <f t="shared" si="160"/>
        <v>0</v>
      </c>
      <c r="AK222" s="124">
        <f t="shared" si="160"/>
        <v>0</v>
      </c>
      <c r="AL222" s="124">
        <f t="shared" si="160"/>
        <v>0</v>
      </c>
      <c r="AM222" s="124">
        <f t="shared" si="160"/>
        <v>0</v>
      </c>
      <c r="AN222" s="115"/>
      <c r="AO222" s="7"/>
      <c r="AP222" s="7"/>
      <c r="AQ222" s="7"/>
      <c r="AR222" s="7"/>
      <c r="AS222" s="7"/>
      <c r="AT222" s="7"/>
      <c r="AU222" s="7"/>
      <c r="AV222" s="7"/>
      <c r="AW222" s="7"/>
      <c r="AX222" s="7"/>
      <c r="AY222" s="7"/>
      <c r="AZ222" s="7"/>
    </row>
    <row r="223" spans="25:52">
      <c r="Y223" s="7"/>
      <c r="Z223" s="7"/>
      <c r="AA223" s="113" t="s">
        <v>156</v>
      </c>
      <c r="AB223" s="124">
        <f>IF(AB31=0,0,IF(AB33=0,$AZ31/($AN31-$AN33),$AZ32/$AN33))+IF(AB31=0,0,$AZ35/$AN31)</f>
        <v>0</v>
      </c>
      <c r="AC223" s="124">
        <f t="shared" ref="AC223:AM223" si="161">IF(AC31=0,0,IF(AC33=0,$AZ31/($AN31-$AN33),$AZ32/$AN33))+IF(AC31=0,0,$AZ35/$AN31)</f>
        <v>0</v>
      </c>
      <c r="AD223" s="124">
        <f t="shared" si="161"/>
        <v>0</v>
      </c>
      <c r="AE223" s="124">
        <f t="shared" si="161"/>
        <v>0</v>
      </c>
      <c r="AF223" s="124">
        <f t="shared" si="161"/>
        <v>0</v>
      </c>
      <c r="AG223" s="124">
        <f t="shared" si="161"/>
        <v>0</v>
      </c>
      <c r="AH223" s="124">
        <f t="shared" si="161"/>
        <v>0</v>
      </c>
      <c r="AI223" s="124">
        <f t="shared" si="161"/>
        <v>0</v>
      </c>
      <c r="AJ223" s="124">
        <f t="shared" si="161"/>
        <v>0</v>
      </c>
      <c r="AK223" s="124">
        <f t="shared" si="161"/>
        <v>0</v>
      </c>
      <c r="AL223" s="124">
        <f t="shared" si="161"/>
        <v>0</v>
      </c>
      <c r="AM223" s="124">
        <f t="shared" si="161"/>
        <v>0</v>
      </c>
      <c r="AN223" s="115"/>
      <c r="AO223" s="7"/>
      <c r="AP223" s="7"/>
      <c r="AQ223" s="7"/>
      <c r="AR223" s="7"/>
      <c r="AS223" s="7"/>
      <c r="AT223" s="7"/>
      <c r="AU223" s="7"/>
      <c r="AV223" s="7"/>
      <c r="AW223" s="7"/>
      <c r="AX223" s="7"/>
      <c r="AY223" s="7"/>
      <c r="AZ223" s="7"/>
    </row>
    <row r="224" spans="25:52">
      <c r="Y224" s="7"/>
      <c r="Z224" s="7"/>
      <c r="AA224" s="113" t="s">
        <v>157</v>
      </c>
      <c r="AB224" s="124">
        <f>IF(AB56=0,0,IF(AB58=0,$AZ56/($AN56-$AN58),$AZ57/$AN58))+IF(AB56=0,0,$AZ60/$AN56)</f>
        <v>0</v>
      </c>
      <c r="AC224" s="124">
        <f t="shared" ref="AC224:AM224" si="162">IF(AC56=0,0,IF(AC58=0,$AZ56/($AN56-$AN58),$AZ57/$AN58))+IF(AC56=0,0,$AZ60/$AN56)</f>
        <v>0</v>
      </c>
      <c r="AD224" s="124">
        <f t="shared" si="162"/>
        <v>0</v>
      </c>
      <c r="AE224" s="124">
        <f t="shared" si="162"/>
        <v>0</v>
      </c>
      <c r="AF224" s="124">
        <f t="shared" si="162"/>
        <v>0</v>
      </c>
      <c r="AG224" s="124">
        <f t="shared" si="162"/>
        <v>0</v>
      </c>
      <c r="AH224" s="124">
        <f t="shared" si="162"/>
        <v>0</v>
      </c>
      <c r="AI224" s="124">
        <f t="shared" si="162"/>
        <v>0</v>
      </c>
      <c r="AJ224" s="124">
        <f t="shared" si="162"/>
        <v>0</v>
      </c>
      <c r="AK224" s="124">
        <f t="shared" si="162"/>
        <v>0</v>
      </c>
      <c r="AL224" s="124">
        <f t="shared" si="162"/>
        <v>0</v>
      </c>
      <c r="AM224" s="124">
        <f t="shared" si="162"/>
        <v>0</v>
      </c>
      <c r="AN224" s="115"/>
    </row>
    <row r="225" spans="25:40">
      <c r="Y225" s="7"/>
      <c r="Z225" s="7"/>
      <c r="AA225" s="113" t="s">
        <v>158</v>
      </c>
      <c r="AB225" s="124">
        <f>IF(AB81=0,0,IF(AB83=0,$AZ81/($AN81-$AN83),$AZ82/$AN83))+IF(AB81=0,0,$AZ85/$AN81)</f>
        <v>0</v>
      </c>
      <c r="AC225" s="124">
        <f t="shared" ref="AC225:AM225" si="163">IF(AC81=0,0,IF(AC83=0,$AZ81/($AN81-$AN83),$AZ82/$AN83))+IF(AC81=0,0,$AZ85/$AN81)</f>
        <v>0</v>
      </c>
      <c r="AD225" s="124">
        <f t="shared" si="163"/>
        <v>0</v>
      </c>
      <c r="AE225" s="124">
        <f t="shared" si="163"/>
        <v>0</v>
      </c>
      <c r="AF225" s="124">
        <f t="shared" si="163"/>
        <v>0</v>
      </c>
      <c r="AG225" s="124">
        <f t="shared" si="163"/>
        <v>0</v>
      </c>
      <c r="AH225" s="124">
        <f t="shared" si="163"/>
        <v>0</v>
      </c>
      <c r="AI225" s="124">
        <f t="shared" si="163"/>
        <v>0</v>
      </c>
      <c r="AJ225" s="124">
        <f t="shared" si="163"/>
        <v>0</v>
      </c>
      <c r="AK225" s="124">
        <f t="shared" si="163"/>
        <v>0</v>
      </c>
      <c r="AL225" s="124">
        <f t="shared" si="163"/>
        <v>0</v>
      </c>
      <c r="AM225" s="124">
        <f t="shared" si="163"/>
        <v>0</v>
      </c>
      <c r="AN225" s="115"/>
    </row>
    <row r="226" spans="25:40">
      <c r="Y226" s="7"/>
      <c r="Z226" s="7"/>
      <c r="AA226" s="113" t="s">
        <v>159</v>
      </c>
      <c r="AB226" s="124">
        <f>IF(AB106=0,0,IF(AB108=0,$AZ106/($AN106-$AN108),$AZ107/$AN108))+IF(AB106=0,0,$AZ110/$AN106)</f>
        <v>0</v>
      </c>
      <c r="AC226" s="124">
        <f t="shared" ref="AC226:AM226" si="164">IF(AC106=0,0,IF(AC108=0,$AZ106/($AN106-$AN108),$AZ107/$AN108))+IF(AC106=0,0,$AZ110/$AN106)</f>
        <v>0</v>
      </c>
      <c r="AD226" s="124">
        <f t="shared" si="164"/>
        <v>0</v>
      </c>
      <c r="AE226" s="124">
        <f t="shared" si="164"/>
        <v>0</v>
      </c>
      <c r="AF226" s="124">
        <f t="shared" si="164"/>
        <v>0</v>
      </c>
      <c r="AG226" s="124">
        <f t="shared" si="164"/>
        <v>0</v>
      </c>
      <c r="AH226" s="124">
        <f t="shared" si="164"/>
        <v>0</v>
      </c>
      <c r="AI226" s="124">
        <f t="shared" si="164"/>
        <v>0</v>
      </c>
      <c r="AJ226" s="124">
        <f t="shared" si="164"/>
        <v>0</v>
      </c>
      <c r="AK226" s="124">
        <f t="shared" si="164"/>
        <v>0</v>
      </c>
      <c r="AL226" s="124">
        <f t="shared" si="164"/>
        <v>0</v>
      </c>
      <c r="AM226" s="124">
        <f t="shared" si="164"/>
        <v>0</v>
      </c>
      <c r="AN226" s="115"/>
    </row>
    <row r="227" spans="25:40">
      <c r="Y227" s="7"/>
      <c r="Z227" s="7"/>
      <c r="AA227" s="113" t="s">
        <v>160</v>
      </c>
      <c r="AB227" s="124">
        <f>IF(AB131=0,0,IF(AB133=0,$AZ131/($AN131-$AN133),$AZ132/$AN133))+IF(AB131=0,0,$AZ135/$AN131)</f>
        <v>0</v>
      </c>
      <c r="AC227" s="124">
        <f t="shared" ref="AC227:AM227" si="165">IF(AC131=0,0,IF(AC133=0,$AZ131/($AN131-$AN133),$AZ132/$AN133))+IF(AC131=0,0,$AZ135/$AN131)</f>
        <v>0</v>
      </c>
      <c r="AD227" s="124">
        <f t="shared" si="165"/>
        <v>0</v>
      </c>
      <c r="AE227" s="124">
        <f t="shared" si="165"/>
        <v>0</v>
      </c>
      <c r="AF227" s="124">
        <f t="shared" si="165"/>
        <v>0</v>
      </c>
      <c r="AG227" s="124">
        <f t="shared" si="165"/>
        <v>0</v>
      </c>
      <c r="AH227" s="124">
        <f t="shared" si="165"/>
        <v>0</v>
      </c>
      <c r="AI227" s="124">
        <f t="shared" si="165"/>
        <v>0</v>
      </c>
      <c r="AJ227" s="124">
        <f t="shared" si="165"/>
        <v>0</v>
      </c>
      <c r="AK227" s="124">
        <f t="shared" si="165"/>
        <v>0</v>
      </c>
      <c r="AL227" s="124">
        <f t="shared" si="165"/>
        <v>0</v>
      </c>
      <c r="AM227" s="124">
        <f t="shared" si="165"/>
        <v>0</v>
      </c>
      <c r="AN227" s="115"/>
    </row>
    <row r="228" spans="25:40">
      <c r="Y228" s="7"/>
      <c r="Z228" s="7"/>
      <c r="AA228" s="113" t="s">
        <v>161</v>
      </c>
      <c r="AB228" s="124">
        <f>IF(AB156=0,0,IF(AB158=0,$AZ156/($AN156-$AN158),$AZ157/$AN158))+IF(AB156=0,0,$AZ160/$AN156)</f>
        <v>0</v>
      </c>
      <c r="AC228" s="124">
        <f t="shared" ref="AC228:AM228" si="166">IF(AC156=0,0,IF(AC158=0,$AZ156/($AN156-$AN158),$AZ157/$AN158))+IF(AC156=0,0,$AZ160/$AN156)</f>
        <v>0</v>
      </c>
      <c r="AD228" s="124">
        <f t="shared" si="166"/>
        <v>0</v>
      </c>
      <c r="AE228" s="124">
        <f t="shared" si="166"/>
        <v>0</v>
      </c>
      <c r="AF228" s="124">
        <f t="shared" si="166"/>
        <v>0</v>
      </c>
      <c r="AG228" s="124">
        <f t="shared" si="166"/>
        <v>0</v>
      </c>
      <c r="AH228" s="124">
        <f t="shared" si="166"/>
        <v>0</v>
      </c>
      <c r="AI228" s="124">
        <f t="shared" si="166"/>
        <v>0</v>
      </c>
      <c r="AJ228" s="124">
        <f t="shared" si="166"/>
        <v>0</v>
      </c>
      <c r="AK228" s="124">
        <f t="shared" si="166"/>
        <v>0</v>
      </c>
      <c r="AL228" s="124">
        <f t="shared" si="166"/>
        <v>0</v>
      </c>
      <c r="AM228" s="124">
        <f t="shared" si="166"/>
        <v>0</v>
      </c>
      <c r="AN228" s="115"/>
    </row>
    <row r="229" spans="25:40">
      <c r="Y229" s="7"/>
      <c r="Z229" s="7"/>
      <c r="AA229" s="113" t="s">
        <v>162</v>
      </c>
      <c r="AB229" s="124">
        <f>IF(AB181=0,0,IF(AB183=0,$AZ181/($AN181-$AN183),$AZ182/$AN183))+IF(AB181=0,0,$AZ185/$AN181)</f>
        <v>0</v>
      </c>
      <c r="AC229" s="124">
        <f t="shared" ref="AC229:AM229" si="167">IF(AC181=0,0,IF(AC183=0,$AZ181/($AN181-$AN183),$AZ182/$AN183))+IF(AC181=0,0,$AZ185/$AN181)</f>
        <v>0</v>
      </c>
      <c r="AD229" s="124">
        <f t="shared" si="167"/>
        <v>0</v>
      </c>
      <c r="AE229" s="124">
        <f t="shared" si="167"/>
        <v>0</v>
      </c>
      <c r="AF229" s="124">
        <f t="shared" si="167"/>
        <v>0</v>
      </c>
      <c r="AG229" s="124">
        <f t="shared" si="167"/>
        <v>0</v>
      </c>
      <c r="AH229" s="124">
        <f t="shared" si="167"/>
        <v>0</v>
      </c>
      <c r="AI229" s="124">
        <f t="shared" si="167"/>
        <v>0</v>
      </c>
      <c r="AJ229" s="124">
        <f t="shared" si="167"/>
        <v>0</v>
      </c>
      <c r="AK229" s="124">
        <f t="shared" si="167"/>
        <v>0</v>
      </c>
      <c r="AL229" s="124">
        <f t="shared" si="167"/>
        <v>0</v>
      </c>
      <c r="AM229" s="124">
        <f t="shared" si="167"/>
        <v>0</v>
      </c>
      <c r="AN229" s="115"/>
    </row>
    <row r="230" spans="25:40">
      <c r="Y230" s="7"/>
      <c r="Z230" s="7" t="s">
        <v>98</v>
      </c>
      <c r="AA230" s="7"/>
      <c r="AB230" s="121">
        <f>IF(AB197=0,0,IF(AND(AB197=1,$AV$201=0),$AI$4/12,($AI$4*(10-$AV$201)*0.1)/12))</f>
        <v>0</v>
      </c>
      <c r="AC230" s="121">
        <f t="shared" ref="AC230:AL230" si="168">IF(AC197=0,0,IF(AND(AC197=1,$AV$201=0),$AI$4/12,($AI$4*(10-$AV$201)*0.1)/12))</f>
        <v>0</v>
      </c>
      <c r="AD230" s="121">
        <f t="shared" si="168"/>
        <v>0</v>
      </c>
      <c r="AE230" s="121">
        <f t="shared" si="168"/>
        <v>0</v>
      </c>
      <c r="AF230" s="121">
        <f>IF(AF197=0,0,IF(AND(AF197=1,$AV$201=0),$AI$4/12,($AI$4*(10-$AV$201)*0.1)/12))</f>
        <v>0</v>
      </c>
      <c r="AG230" s="121">
        <f>IF(AG197=0,0,IF(AND(AG197=1,$AV$201=0),$AI$4/12,($AI$4*(10-$AV$201)*0.1)/12))</f>
        <v>0</v>
      </c>
      <c r="AH230" s="121">
        <f>IF(AH197=0,0,IF(AND(AH197=1,$AV$201=0),$AI$4/12,($AI$4*(10-$AV$201)*0.1)/12))</f>
        <v>0</v>
      </c>
      <c r="AI230" s="121">
        <f>IF(AI197=0,0,IF(AND(AI197=1,$AV$201=0),$AI$4/12,($AI$4*(10-$AV$201)*0.1)/12))</f>
        <v>0</v>
      </c>
      <c r="AJ230" s="121">
        <f t="shared" si="168"/>
        <v>0</v>
      </c>
      <c r="AK230" s="121">
        <f t="shared" si="168"/>
        <v>0</v>
      </c>
      <c r="AL230" s="121">
        <f t="shared" si="168"/>
        <v>0</v>
      </c>
      <c r="AM230" s="121">
        <f>IF(AM197=0,0,IF(AND(AM197=1,$AV$201=0),$AI$4/12,($AI$4*(10-$AV$201)*0.1)/12))</f>
        <v>0</v>
      </c>
      <c r="AN230" s="115"/>
    </row>
    <row r="231" spans="25:40">
      <c r="Y231" s="7"/>
      <c r="Z231" s="7" t="s">
        <v>112</v>
      </c>
      <c r="AA231" s="7"/>
      <c r="AB231" s="123">
        <f>$AL$2/12</f>
        <v>14166.666666666666</v>
      </c>
      <c r="AC231" s="117">
        <f t="shared" ref="AC231:AK231" si="169">$AL$2/12</f>
        <v>14166.666666666666</v>
      </c>
      <c r="AD231" s="117">
        <f t="shared" si="169"/>
        <v>14166.666666666666</v>
      </c>
      <c r="AE231" s="117">
        <f t="shared" si="169"/>
        <v>14166.666666666666</v>
      </c>
      <c r="AF231" s="117">
        <f t="shared" si="169"/>
        <v>14166.666666666666</v>
      </c>
      <c r="AG231" s="117">
        <f>$AL$2/12</f>
        <v>14166.666666666666</v>
      </c>
      <c r="AH231" s="117">
        <f t="shared" si="169"/>
        <v>14166.666666666666</v>
      </c>
      <c r="AI231" s="117">
        <f t="shared" si="169"/>
        <v>14166.666666666666</v>
      </c>
      <c r="AJ231" s="117">
        <f t="shared" si="169"/>
        <v>14166.666666666666</v>
      </c>
      <c r="AK231" s="117">
        <f t="shared" si="169"/>
        <v>14166.666666666666</v>
      </c>
      <c r="AL231" s="117">
        <f>$AL$2/12</f>
        <v>14166.666666666666</v>
      </c>
      <c r="AM231" s="117">
        <f>$AL$2/12</f>
        <v>14166.666666666666</v>
      </c>
      <c r="AN231" s="115" t="s">
        <v>113</v>
      </c>
    </row>
    <row r="232" spans="25:40">
      <c r="Y232" s="7"/>
      <c r="Z232" s="7" t="s">
        <v>115</v>
      </c>
      <c r="AA232" s="7"/>
      <c r="AB232" s="117">
        <f>IF(SUM(AB222:AB230)-AB231&lt;0,0,SUM(AB222:AB230)-AB231)</f>
        <v>0</v>
      </c>
      <c r="AC232" s="117">
        <f>IF(SUM(AC222:AC230)-AC231&lt;0,0,SUM(AC222:AC230)-AC231)</f>
        <v>0</v>
      </c>
      <c r="AD232" s="117">
        <f>IF(SUM(AD222:AD230)-AD231&lt;0,0,SUM(AD222:AD230)-AD231)</f>
        <v>0</v>
      </c>
      <c r="AE232" s="117">
        <f t="shared" ref="AE232:AK232" si="170">IF(SUM(AE222:AE230)-AE231&lt;0,0,SUM(AE222:AE230)-AE231)</f>
        <v>0</v>
      </c>
      <c r="AF232" s="117">
        <f t="shared" si="170"/>
        <v>0</v>
      </c>
      <c r="AG232" s="117">
        <f t="shared" si="170"/>
        <v>0</v>
      </c>
      <c r="AH232" s="117">
        <f t="shared" si="170"/>
        <v>0</v>
      </c>
      <c r="AI232" s="117">
        <f t="shared" si="170"/>
        <v>0</v>
      </c>
      <c r="AJ232" s="117">
        <f t="shared" si="170"/>
        <v>0</v>
      </c>
      <c r="AK232" s="117">
        <f t="shared" si="170"/>
        <v>0</v>
      </c>
      <c r="AL232" s="117">
        <f>IF(SUM(AL222:AL230)-AL231&lt;0,0,SUM(AL222:AL230)-AL231)</f>
        <v>0</v>
      </c>
      <c r="AM232" s="117">
        <f>IF(SUM(AM222:AM230)-AM231&lt;0,0,SUM(AM222:AM230)-AM231)</f>
        <v>0</v>
      </c>
      <c r="AN232" s="117">
        <f>ROUNDDOWN(SUM(AB232:AM232),0)</f>
        <v>0</v>
      </c>
    </row>
    <row r="233" spans="25:40">
      <c r="Y233" s="14" t="s">
        <v>204</v>
      </c>
      <c r="Z233" s="14"/>
      <c r="AA233" s="185" t="s">
        <v>155</v>
      </c>
      <c r="AB233" s="186">
        <f>IF(AB7&lt;&gt;1,0,IF(AB9&lt;&gt;1,$BA6/($AN7-$AN9),$BA7/$AN9))+IF(AB7&lt;&gt;1,0,$BA10/$AN7)</f>
        <v>0</v>
      </c>
      <c r="AC233" s="186">
        <f>IF(AC7&lt;&gt;1,0,IF(AC9&lt;&gt;1,$BA6/($AN7-$AN9),$BA7/$AN9))+IF(AC7&lt;&gt;1,0,$BA10/$AN7)</f>
        <v>0</v>
      </c>
      <c r="AD233" s="186">
        <f>IF(AD7&lt;&gt;1,0,IF(AD9&lt;&gt;1,$BA6/($AN7-$AN9),$BA7/$AN9))+IF(AD7&lt;&gt;1,0,$BA10/$AN7)</f>
        <v>0</v>
      </c>
      <c r="AE233" s="186">
        <f t="shared" ref="AE233:AM233" si="171">IF(AE7&lt;&gt;1,0,IF(AE9&lt;&gt;1,$BA6/($AN7-$AN9),$BA7/$AN9))+IF(AE7&lt;&gt;1,0,$BA10/$AN7)</f>
        <v>0</v>
      </c>
      <c r="AF233" s="186">
        <f t="shared" si="171"/>
        <v>0</v>
      </c>
      <c r="AG233" s="186">
        <f t="shared" si="171"/>
        <v>0</v>
      </c>
      <c r="AH233" s="186">
        <f t="shared" si="171"/>
        <v>0</v>
      </c>
      <c r="AI233" s="186">
        <f t="shared" si="171"/>
        <v>0</v>
      </c>
      <c r="AJ233" s="186">
        <f t="shared" si="171"/>
        <v>0</v>
      </c>
      <c r="AK233" s="186">
        <f t="shared" si="171"/>
        <v>0</v>
      </c>
      <c r="AL233" s="186">
        <f t="shared" si="171"/>
        <v>0</v>
      </c>
      <c r="AM233" s="186">
        <f t="shared" si="171"/>
        <v>0</v>
      </c>
      <c r="AN233" s="187"/>
    </row>
    <row r="234" spans="25:40">
      <c r="Y234" s="14"/>
      <c r="Z234" s="14"/>
      <c r="AA234" s="185" t="s">
        <v>156</v>
      </c>
      <c r="AB234" s="186">
        <f>IF(AB32=0,0,IF(AB34=0,$BA31/($AN32-$AN34),$BA32/$AN34))+IF(AB32=0,0,$BA35/$AN32)</f>
        <v>0</v>
      </c>
      <c r="AC234" s="186">
        <f t="shared" ref="AC234:AM234" si="172">IF(AC32=0,0,IF(AC34=0,$BA31/($AN32-$AN34),$BA32/$AN34))+IF(AC32=0,0,$BA35/$AN32)</f>
        <v>0</v>
      </c>
      <c r="AD234" s="186">
        <f t="shared" si="172"/>
        <v>0</v>
      </c>
      <c r="AE234" s="186">
        <f t="shared" si="172"/>
        <v>0</v>
      </c>
      <c r="AF234" s="186">
        <f t="shared" si="172"/>
        <v>0</v>
      </c>
      <c r="AG234" s="186">
        <f t="shared" si="172"/>
        <v>0</v>
      </c>
      <c r="AH234" s="186">
        <f t="shared" si="172"/>
        <v>0</v>
      </c>
      <c r="AI234" s="186">
        <f t="shared" si="172"/>
        <v>0</v>
      </c>
      <c r="AJ234" s="186">
        <f t="shared" si="172"/>
        <v>0</v>
      </c>
      <c r="AK234" s="186">
        <f t="shared" si="172"/>
        <v>0</v>
      </c>
      <c r="AL234" s="186">
        <f t="shared" si="172"/>
        <v>0</v>
      </c>
      <c r="AM234" s="186">
        <f t="shared" si="172"/>
        <v>0</v>
      </c>
      <c r="AN234" s="187"/>
    </row>
    <row r="235" spans="25:40">
      <c r="Y235" s="14"/>
      <c r="Z235" s="14"/>
      <c r="AA235" s="185" t="s">
        <v>157</v>
      </c>
      <c r="AB235" s="186">
        <f>IF(AB57=0,0,IF(AB59=0,$BA56/($AN57-$AN59),$BA57/$AN59))+IF(AB57=0,0,$BA60/$AN57)</f>
        <v>0</v>
      </c>
      <c r="AC235" s="186">
        <f t="shared" ref="AC235:AM235" si="173">IF(AC57=0,0,IF(AC59=0,$BA56/($AN57-$AN59),$BA57/$AN59))+IF(AC57=0,0,$BA60/$AN57)</f>
        <v>0</v>
      </c>
      <c r="AD235" s="186">
        <f t="shared" si="173"/>
        <v>0</v>
      </c>
      <c r="AE235" s="186">
        <f t="shared" si="173"/>
        <v>0</v>
      </c>
      <c r="AF235" s="186">
        <f t="shared" si="173"/>
        <v>0</v>
      </c>
      <c r="AG235" s="186">
        <f t="shared" si="173"/>
        <v>0</v>
      </c>
      <c r="AH235" s="186">
        <f t="shared" si="173"/>
        <v>0</v>
      </c>
      <c r="AI235" s="186">
        <f t="shared" si="173"/>
        <v>0</v>
      </c>
      <c r="AJ235" s="186">
        <f t="shared" si="173"/>
        <v>0</v>
      </c>
      <c r="AK235" s="186">
        <f t="shared" si="173"/>
        <v>0</v>
      </c>
      <c r="AL235" s="186">
        <f t="shared" si="173"/>
        <v>0</v>
      </c>
      <c r="AM235" s="186">
        <f t="shared" si="173"/>
        <v>0</v>
      </c>
      <c r="AN235" s="187"/>
    </row>
    <row r="236" spans="25:40">
      <c r="Y236" s="14"/>
      <c r="Z236" s="14"/>
      <c r="AA236" s="185" t="s">
        <v>158</v>
      </c>
      <c r="AB236" s="186">
        <f>IF(AB82=0,0,IF(AB84=0,$BA81/($AN82-$AN84),$BA82/$AN84))+IF(AB82=0,0,$BA85/$AN82)</f>
        <v>0</v>
      </c>
      <c r="AC236" s="186">
        <f t="shared" ref="AC236:AM236" si="174">IF(AC82=0,0,IF(AC84=0,$BA81/($AN82-$AN84),$BA82/$AN84))+IF(AC82=0,0,$BA85/$AN82)</f>
        <v>0</v>
      </c>
      <c r="AD236" s="186">
        <f t="shared" si="174"/>
        <v>0</v>
      </c>
      <c r="AE236" s="186">
        <f t="shared" si="174"/>
        <v>0</v>
      </c>
      <c r="AF236" s="186">
        <f t="shared" si="174"/>
        <v>0</v>
      </c>
      <c r="AG236" s="186">
        <f t="shared" si="174"/>
        <v>0</v>
      </c>
      <c r="AH236" s="186">
        <f t="shared" si="174"/>
        <v>0</v>
      </c>
      <c r="AI236" s="186">
        <f t="shared" si="174"/>
        <v>0</v>
      </c>
      <c r="AJ236" s="186">
        <f t="shared" si="174"/>
        <v>0</v>
      </c>
      <c r="AK236" s="186">
        <f t="shared" si="174"/>
        <v>0</v>
      </c>
      <c r="AL236" s="186">
        <f t="shared" si="174"/>
        <v>0</v>
      </c>
      <c r="AM236" s="186">
        <f t="shared" si="174"/>
        <v>0</v>
      </c>
      <c r="AN236" s="187"/>
    </row>
    <row r="237" spans="25:40">
      <c r="Y237" s="14"/>
      <c r="Z237" s="14"/>
      <c r="AA237" s="185" t="s">
        <v>159</v>
      </c>
      <c r="AB237" s="186">
        <f>IF(AB107=0,0,IF(AB109=0,$BA106/($AN107-$AN109),$BA107/$AN109))+IF(AB107=0,0,$BA110/$AN107)</f>
        <v>0</v>
      </c>
      <c r="AC237" s="186">
        <f t="shared" ref="AC237:AM237" si="175">IF(AC107=0,0,IF(AC109=0,$BA106/($AN107-$AN109),$BA107/$AN109))+IF(AC107=0,0,$BA110/$AN107)</f>
        <v>0</v>
      </c>
      <c r="AD237" s="186">
        <f t="shared" si="175"/>
        <v>0</v>
      </c>
      <c r="AE237" s="186">
        <f t="shared" si="175"/>
        <v>0</v>
      </c>
      <c r="AF237" s="186">
        <f t="shared" si="175"/>
        <v>0</v>
      </c>
      <c r="AG237" s="186">
        <f t="shared" si="175"/>
        <v>0</v>
      </c>
      <c r="AH237" s="186">
        <f t="shared" si="175"/>
        <v>0</v>
      </c>
      <c r="AI237" s="186">
        <f t="shared" si="175"/>
        <v>0</v>
      </c>
      <c r="AJ237" s="186">
        <f t="shared" si="175"/>
        <v>0</v>
      </c>
      <c r="AK237" s="186">
        <f t="shared" si="175"/>
        <v>0</v>
      </c>
      <c r="AL237" s="186">
        <f t="shared" si="175"/>
        <v>0</v>
      </c>
      <c r="AM237" s="186">
        <f t="shared" si="175"/>
        <v>0</v>
      </c>
      <c r="AN237" s="187"/>
    </row>
    <row r="238" spans="25:40">
      <c r="Y238" s="14"/>
      <c r="Z238" s="14"/>
      <c r="AA238" s="185" t="s">
        <v>160</v>
      </c>
      <c r="AB238" s="186">
        <f>IF(AB132=0,0,IF(AB134=0,$BA131/($AN132-$AN134),$BA132/$AN134))+IF(AB132=0,0,$BA135/$AN132)</f>
        <v>0</v>
      </c>
      <c r="AC238" s="186">
        <f t="shared" ref="AC238:AM238" si="176">IF(AC132=0,0,IF(AC134=0,$BA131/($AN132-$AN134),$BA132/$AN134))+IF(AC132=0,0,$BA135/$AN132)</f>
        <v>0</v>
      </c>
      <c r="AD238" s="186">
        <f t="shared" si="176"/>
        <v>0</v>
      </c>
      <c r="AE238" s="186">
        <f t="shared" si="176"/>
        <v>0</v>
      </c>
      <c r="AF238" s="186">
        <f t="shared" si="176"/>
        <v>0</v>
      </c>
      <c r="AG238" s="186">
        <f t="shared" si="176"/>
        <v>0</v>
      </c>
      <c r="AH238" s="186">
        <f t="shared" si="176"/>
        <v>0</v>
      </c>
      <c r="AI238" s="186">
        <f t="shared" si="176"/>
        <v>0</v>
      </c>
      <c r="AJ238" s="186">
        <f t="shared" si="176"/>
        <v>0</v>
      </c>
      <c r="AK238" s="186">
        <f t="shared" si="176"/>
        <v>0</v>
      </c>
      <c r="AL238" s="186">
        <f t="shared" si="176"/>
        <v>0</v>
      </c>
      <c r="AM238" s="186">
        <f t="shared" si="176"/>
        <v>0</v>
      </c>
      <c r="AN238" s="187"/>
    </row>
    <row r="239" spans="25:40">
      <c r="Y239" s="14"/>
      <c r="Z239" s="14"/>
      <c r="AA239" s="185" t="s">
        <v>161</v>
      </c>
      <c r="AB239" s="186">
        <f>IF(AB157=0,0,IF(AB159=0,$BA156/($AN157-$AN159),$BA157/$AN159))+IF(AB157=0,0,$BA160/$AN157)</f>
        <v>0</v>
      </c>
      <c r="AC239" s="186">
        <f t="shared" ref="AC239:AM239" si="177">IF(AC157=0,0,IF(AC159=0,$BA156/($AN157-$AN159),$BA157/$AN159))+IF(AC157=0,0,$BA160/$AN157)</f>
        <v>0</v>
      </c>
      <c r="AD239" s="186">
        <f t="shared" si="177"/>
        <v>0</v>
      </c>
      <c r="AE239" s="186">
        <f t="shared" si="177"/>
        <v>0</v>
      </c>
      <c r="AF239" s="186">
        <f t="shared" si="177"/>
        <v>0</v>
      </c>
      <c r="AG239" s="186">
        <f t="shared" si="177"/>
        <v>0</v>
      </c>
      <c r="AH239" s="186">
        <f t="shared" si="177"/>
        <v>0</v>
      </c>
      <c r="AI239" s="186">
        <f t="shared" si="177"/>
        <v>0</v>
      </c>
      <c r="AJ239" s="186">
        <f t="shared" si="177"/>
        <v>0</v>
      </c>
      <c r="AK239" s="186">
        <f t="shared" si="177"/>
        <v>0</v>
      </c>
      <c r="AL239" s="186">
        <f t="shared" si="177"/>
        <v>0</v>
      </c>
      <c r="AM239" s="186">
        <f t="shared" si="177"/>
        <v>0</v>
      </c>
      <c r="AN239" s="187"/>
    </row>
    <row r="240" spans="25:40">
      <c r="Y240" s="14"/>
      <c r="Z240" s="14"/>
      <c r="AA240" s="185" t="s">
        <v>162</v>
      </c>
      <c r="AB240" s="186">
        <f>IF(AB182=0,0,IF(AB184=0,$BA181/($AN182-$AN184),$BA182/$AN184))+IF(AB182=0,0,$BA185/$AN182)</f>
        <v>0</v>
      </c>
      <c r="AC240" s="186">
        <f t="shared" ref="AC240:AM240" si="178">IF(AC182=0,0,IF(AC184=0,$BA181/($AN182-$AN184),$BA182/$AN184))+IF(AC182=0,0,$BA185/$AN182)</f>
        <v>0</v>
      </c>
      <c r="AD240" s="186">
        <f t="shared" si="178"/>
        <v>0</v>
      </c>
      <c r="AE240" s="186">
        <f t="shared" si="178"/>
        <v>0</v>
      </c>
      <c r="AF240" s="186">
        <f t="shared" si="178"/>
        <v>0</v>
      </c>
      <c r="AG240" s="186">
        <f t="shared" si="178"/>
        <v>0</v>
      </c>
      <c r="AH240" s="186">
        <f t="shared" si="178"/>
        <v>0</v>
      </c>
      <c r="AI240" s="186">
        <f t="shared" si="178"/>
        <v>0</v>
      </c>
      <c r="AJ240" s="186">
        <f t="shared" si="178"/>
        <v>0</v>
      </c>
      <c r="AK240" s="186">
        <f t="shared" si="178"/>
        <v>0</v>
      </c>
      <c r="AL240" s="186">
        <f t="shared" si="178"/>
        <v>0</v>
      </c>
      <c r="AM240" s="186">
        <f t="shared" si="178"/>
        <v>0</v>
      </c>
      <c r="AN240" s="187"/>
    </row>
    <row r="241" spans="25:40">
      <c r="Y241" s="14"/>
      <c r="Z241" s="14" t="s">
        <v>98</v>
      </c>
      <c r="AA241" s="14"/>
      <c r="AB241" s="186">
        <f>IF(AB198=0,0,IF(AND(AB198=1,$AV$201=0),$AE$4/12,($AE$4*(10-$AV$201)*0.1)/12))</f>
        <v>0</v>
      </c>
      <c r="AC241" s="186">
        <f t="shared" ref="AC241:AM241" si="179">IF(AC198=0,0,IF(AND(AC198=1,$AV$201=0),$AE$4/12,($AE$4*(10-$AV$201)*0.1)/12))</f>
        <v>0</v>
      </c>
      <c r="AD241" s="186">
        <f t="shared" si="179"/>
        <v>0</v>
      </c>
      <c r="AE241" s="186">
        <f t="shared" si="179"/>
        <v>0</v>
      </c>
      <c r="AF241" s="186">
        <f t="shared" si="179"/>
        <v>0</v>
      </c>
      <c r="AG241" s="186">
        <f t="shared" si="179"/>
        <v>0</v>
      </c>
      <c r="AH241" s="186">
        <f t="shared" si="179"/>
        <v>0</v>
      </c>
      <c r="AI241" s="186">
        <f t="shared" si="179"/>
        <v>0</v>
      </c>
      <c r="AJ241" s="186">
        <f t="shared" si="179"/>
        <v>0</v>
      </c>
      <c r="AK241" s="186">
        <f t="shared" si="179"/>
        <v>0</v>
      </c>
      <c r="AL241" s="186">
        <f t="shared" si="179"/>
        <v>0</v>
      </c>
      <c r="AM241" s="186">
        <f t="shared" si="179"/>
        <v>0</v>
      </c>
      <c r="AN241" s="187"/>
    </row>
    <row r="242" spans="25:40">
      <c r="Y242" s="14"/>
      <c r="Z242" s="14" t="s">
        <v>112</v>
      </c>
      <c r="AA242" s="14"/>
      <c r="AB242" s="186">
        <f>$AM$2/12</f>
        <v>2500</v>
      </c>
      <c r="AC242" s="186">
        <f t="shared" ref="AC242:AM242" si="180">$AM$2/12</f>
        <v>2500</v>
      </c>
      <c r="AD242" s="186">
        <f t="shared" si="180"/>
        <v>2500</v>
      </c>
      <c r="AE242" s="186">
        <f t="shared" si="180"/>
        <v>2500</v>
      </c>
      <c r="AF242" s="186">
        <f t="shared" si="180"/>
        <v>2500</v>
      </c>
      <c r="AG242" s="186">
        <f t="shared" si="180"/>
        <v>2500</v>
      </c>
      <c r="AH242" s="186">
        <f t="shared" si="180"/>
        <v>2500</v>
      </c>
      <c r="AI242" s="186">
        <f t="shared" si="180"/>
        <v>2500</v>
      </c>
      <c r="AJ242" s="186">
        <f t="shared" si="180"/>
        <v>2500</v>
      </c>
      <c r="AK242" s="186">
        <f t="shared" si="180"/>
        <v>2500</v>
      </c>
      <c r="AL242" s="186">
        <f t="shared" si="180"/>
        <v>2500</v>
      </c>
      <c r="AM242" s="186">
        <f t="shared" si="180"/>
        <v>2500</v>
      </c>
      <c r="AN242" s="187" t="s">
        <v>113</v>
      </c>
    </row>
    <row r="243" spans="25:40">
      <c r="Y243" s="14"/>
      <c r="Z243" s="14" t="s">
        <v>115</v>
      </c>
      <c r="AA243" s="14"/>
      <c r="AB243" s="186">
        <f>IF(SUM(AB233:AB241)-AB242&lt;0,0,SUM(AB233:AB241)-AB242)</f>
        <v>0</v>
      </c>
      <c r="AC243" s="186">
        <f t="shared" ref="AC243:AL243" si="181">IF(SUM(AC233:AC241)-AC242&lt;0,0,SUM(AC233:AC241)-AC242)</f>
        <v>0</v>
      </c>
      <c r="AD243" s="186">
        <f t="shared" si="181"/>
        <v>0</v>
      </c>
      <c r="AE243" s="186">
        <f t="shared" si="181"/>
        <v>0</v>
      </c>
      <c r="AF243" s="186">
        <f t="shared" si="181"/>
        <v>0</v>
      </c>
      <c r="AG243" s="186">
        <f t="shared" si="181"/>
        <v>0</v>
      </c>
      <c r="AH243" s="186">
        <f t="shared" si="181"/>
        <v>0</v>
      </c>
      <c r="AI243" s="186">
        <f t="shared" si="181"/>
        <v>0</v>
      </c>
      <c r="AJ243" s="186">
        <f t="shared" si="181"/>
        <v>0</v>
      </c>
      <c r="AK243" s="186">
        <f t="shared" si="181"/>
        <v>0</v>
      </c>
      <c r="AL243" s="186">
        <f t="shared" si="181"/>
        <v>0</v>
      </c>
      <c r="AM243" s="186">
        <f>IF(SUM(AM233:AM241)-AM242&lt;0,0,SUM(AM233:AM241)-AM242)</f>
        <v>0</v>
      </c>
      <c r="AN243" s="186">
        <f>ROUNDDOWN(SUM(AB243:AM243),0)</f>
        <v>0</v>
      </c>
    </row>
    <row r="247" spans="25:40">
      <c r="AB247" s="124"/>
    </row>
    <row r="248" spans="25:40">
      <c r="AB248" s="124"/>
    </row>
    <row r="249" spans="25:40">
      <c r="AB249" s="119"/>
    </row>
    <row r="250" spans="25:40">
      <c r="AB250" s="122"/>
    </row>
    <row r="251" spans="25:40">
      <c r="AB251" s="122"/>
    </row>
    <row r="252" spans="25:40">
      <c r="AB252" s="122"/>
    </row>
    <row r="253" spans="25:40">
      <c r="AB253" s="121"/>
    </row>
  </sheetData>
  <mergeCells count="116">
    <mergeCell ref="AQ109:AR109"/>
    <mergeCell ref="AP202:AV202"/>
    <mergeCell ref="AP204:AV205"/>
    <mergeCell ref="AP208:AV208"/>
    <mergeCell ref="AP80:AQ80"/>
    <mergeCell ref="AQ83:AR83"/>
    <mergeCell ref="AQ84:AR84"/>
    <mergeCell ref="AP105:AQ105"/>
    <mergeCell ref="AQ108:AR108"/>
    <mergeCell ref="AP130:AQ130"/>
    <mergeCell ref="AQ133:AR133"/>
    <mergeCell ref="AQ134:AR134"/>
    <mergeCell ref="AP155:AQ155"/>
    <mergeCell ref="AQ158:AR158"/>
    <mergeCell ref="AQ159:AR159"/>
    <mergeCell ref="AP180:AQ180"/>
    <mergeCell ref="AQ183:AR183"/>
    <mergeCell ref="AQ184:AR184"/>
    <mergeCell ref="AQ33:AR33"/>
    <mergeCell ref="AQ34:AR34"/>
    <mergeCell ref="AP55:AQ55"/>
    <mergeCell ref="AQ58:AR58"/>
    <mergeCell ref="AQ59:AR59"/>
    <mergeCell ref="AB1:AD1"/>
    <mergeCell ref="AP5:AQ5"/>
    <mergeCell ref="AQ8:AR8"/>
    <mergeCell ref="AQ9:AR9"/>
    <mergeCell ref="AP30:AQ30"/>
    <mergeCell ref="R29:T29"/>
    <mergeCell ref="D28:G28"/>
    <mergeCell ref="J28:J49"/>
    <mergeCell ref="K28:N28"/>
    <mergeCell ref="C50:G50"/>
    <mergeCell ref="J50:N50"/>
    <mergeCell ref="D3:G3"/>
    <mergeCell ref="J3:J24"/>
    <mergeCell ref="K3:N3"/>
    <mergeCell ref="Q50:U50"/>
    <mergeCell ref="R3:U3"/>
    <mergeCell ref="D4:F4"/>
    <mergeCell ref="K4:M4"/>
    <mergeCell ref="R4:T4"/>
    <mergeCell ref="C25:G25"/>
    <mergeCell ref="J25:N25"/>
    <mergeCell ref="Q25:U25"/>
    <mergeCell ref="Q3:Q24"/>
    <mergeCell ref="Q28:Q49"/>
    <mergeCell ref="R28:U28"/>
    <mergeCell ref="D29:F29"/>
    <mergeCell ref="K29:M29"/>
    <mergeCell ref="C100:G100"/>
    <mergeCell ref="J100:N100"/>
    <mergeCell ref="Q100:U100"/>
    <mergeCell ref="Q53:Q74"/>
    <mergeCell ref="R53:U53"/>
    <mergeCell ref="D54:F54"/>
    <mergeCell ref="K54:M54"/>
    <mergeCell ref="R54:T54"/>
    <mergeCell ref="D53:G53"/>
    <mergeCell ref="J53:J74"/>
    <mergeCell ref="K53:N53"/>
    <mergeCell ref="C75:G75"/>
    <mergeCell ref="J75:N75"/>
    <mergeCell ref="Q75:U75"/>
    <mergeCell ref="D78:G78"/>
    <mergeCell ref="J78:J99"/>
    <mergeCell ref="K78:N78"/>
    <mergeCell ref="Q78:Q99"/>
    <mergeCell ref="R78:U78"/>
    <mergeCell ref="D79:F79"/>
    <mergeCell ref="K79:M79"/>
    <mergeCell ref="R79:T79"/>
    <mergeCell ref="C150:G150"/>
    <mergeCell ref="J150:N150"/>
    <mergeCell ref="Q150:U150"/>
    <mergeCell ref="Q103:Q124"/>
    <mergeCell ref="R103:U103"/>
    <mergeCell ref="D104:F104"/>
    <mergeCell ref="K104:M104"/>
    <mergeCell ref="R104:T104"/>
    <mergeCell ref="D103:G103"/>
    <mergeCell ref="J103:J124"/>
    <mergeCell ref="K103:N103"/>
    <mergeCell ref="C125:G125"/>
    <mergeCell ref="J125:N125"/>
    <mergeCell ref="Q125:U125"/>
    <mergeCell ref="D128:G128"/>
    <mergeCell ref="J128:J149"/>
    <mergeCell ref="K128:N128"/>
    <mergeCell ref="Q128:Q149"/>
    <mergeCell ref="R128:U128"/>
    <mergeCell ref="D129:F129"/>
    <mergeCell ref="K129:M129"/>
    <mergeCell ref="R129:T129"/>
    <mergeCell ref="C200:G200"/>
    <mergeCell ref="J200:N200"/>
    <mergeCell ref="Q200:U200"/>
    <mergeCell ref="Q153:Q174"/>
    <mergeCell ref="R153:U153"/>
    <mergeCell ref="D154:F154"/>
    <mergeCell ref="K154:M154"/>
    <mergeCell ref="R154:T154"/>
    <mergeCell ref="D153:G153"/>
    <mergeCell ref="J153:J174"/>
    <mergeCell ref="K153:N153"/>
    <mergeCell ref="C175:G175"/>
    <mergeCell ref="J175:N175"/>
    <mergeCell ref="Q175:U175"/>
    <mergeCell ref="D178:G178"/>
    <mergeCell ref="J178:J199"/>
    <mergeCell ref="K178:N178"/>
    <mergeCell ref="Q178:Q199"/>
    <mergeCell ref="R178:U178"/>
    <mergeCell ref="D179:F179"/>
    <mergeCell ref="K179:M179"/>
    <mergeCell ref="R179:T179"/>
  </mergeCells>
  <phoneticPr fontId="1"/>
  <pageMargins left="0.25" right="0.25" top="0.75" bottom="0.75" header="0.3" footer="0.3"/>
  <pageSetup paperSize="9" orientation="portrait" verticalDpi="0"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21"/>
  <sheetViews>
    <sheetView workbookViewId="0">
      <selection activeCell="AH2" sqref="AH2"/>
    </sheetView>
  </sheetViews>
  <sheetFormatPr defaultRowHeight="13.5"/>
  <sheetData>
    <row r="2" spans="1:2">
      <c r="A2" t="s">
        <v>167</v>
      </c>
    </row>
    <row r="3" spans="1:2">
      <c r="A3" t="s">
        <v>168</v>
      </c>
    </row>
    <row r="5" spans="1:2">
      <c r="A5" t="s">
        <v>170</v>
      </c>
    </row>
    <row r="6" spans="1:2">
      <c r="A6" t="s">
        <v>169</v>
      </c>
    </row>
    <row r="8" spans="1:2">
      <c r="A8" t="s">
        <v>171</v>
      </c>
    </row>
    <row r="9" spans="1:2">
      <c r="A9" s="131">
        <v>44812</v>
      </c>
      <c r="B9" t="s">
        <v>172</v>
      </c>
    </row>
    <row r="10" spans="1:2">
      <c r="A10" s="131">
        <v>45034</v>
      </c>
      <c r="B10" t="s">
        <v>174</v>
      </c>
    </row>
    <row r="11" spans="1:2">
      <c r="A11" s="131">
        <v>45034</v>
      </c>
      <c r="B11" t="s">
        <v>175</v>
      </c>
    </row>
    <row r="12" spans="1:2">
      <c r="A12" s="131">
        <v>45093</v>
      </c>
      <c r="B12" t="s">
        <v>176</v>
      </c>
    </row>
    <row r="13" spans="1:2">
      <c r="A13" s="131">
        <v>45245</v>
      </c>
      <c r="B13" t="s">
        <v>177</v>
      </c>
    </row>
    <row r="14" spans="1:2">
      <c r="B14" t="s">
        <v>178</v>
      </c>
    </row>
    <row r="15" spans="1:2">
      <c r="B15" t="s">
        <v>179</v>
      </c>
    </row>
    <row r="16" spans="1:2">
      <c r="B16" t="s">
        <v>180</v>
      </c>
    </row>
    <row r="17" spans="1:2">
      <c r="A17" s="131">
        <v>46045</v>
      </c>
      <c r="B17" t="s">
        <v>194</v>
      </c>
    </row>
    <row r="18" spans="1:2">
      <c r="B18" t="s">
        <v>198</v>
      </c>
    </row>
    <row r="19" spans="1:2">
      <c r="B19" t="s">
        <v>197</v>
      </c>
    </row>
    <row r="20" spans="1:2">
      <c r="A20" s="131">
        <v>46169</v>
      </c>
      <c r="B20" t="s">
        <v>205</v>
      </c>
    </row>
    <row r="21" spans="1:2">
      <c r="B21" t="s">
        <v>206</v>
      </c>
    </row>
  </sheetData>
  <phoneticPr fontId="1"/>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簡易試算シート</vt:lpstr>
      <vt:lpstr>計算処理用（入力不可）</vt:lpstr>
      <vt:lpstr>エクセルを修正する際の注意（職員向）</vt:lpstr>
    </vt:vector>
  </TitlesOfParts>
  <Company>Chigasaki City Hall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Infomation Promotion Division</dc:creator>
  <cp:lastModifiedBy>Windows ユーザー</cp:lastModifiedBy>
  <cp:lastPrinted>2026-01-22T08:05:27Z</cp:lastPrinted>
  <dcterms:created xsi:type="dcterms:W3CDTF">2021-09-22T06:36:13Z</dcterms:created>
  <dcterms:modified xsi:type="dcterms:W3CDTF">2026-06-16T04:20:06Z</dcterms:modified>
</cp:coreProperties>
</file>