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240" windowWidth="16605" windowHeight="7395"/>
  </bookViews>
  <sheets>
    <sheet name="連結精算表" sheetId="38" r:id="rId1"/>
  </sheets>
  <calcPr calcId="145621"/>
</workbook>
</file>

<file path=xl/calcChain.xml><?xml version="1.0" encoding="utf-8"?>
<calcChain xmlns="http://schemas.openxmlformats.org/spreadsheetml/2006/main">
  <c r="U99" i="38" l="1"/>
  <c r="R99" i="38"/>
  <c r="AD99" i="38"/>
  <c r="N98" i="38"/>
  <c r="Y97" i="38"/>
  <c r="X97" i="38"/>
  <c r="W97" i="38"/>
  <c r="V97" i="38"/>
  <c r="Z40" i="38"/>
  <c r="AA40" i="38" s="1"/>
  <c r="AD68" i="38"/>
  <c r="AC11" i="38"/>
  <c r="AD11" i="38"/>
  <c r="T11" i="38"/>
  <c r="U10" i="38"/>
  <c r="AD142" i="38" l="1"/>
  <c r="AA157" i="38"/>
  <c r="V158" i="38"/>
  <c r="AA158" i="38"/>
  <c r="AD158" i="38" s="1"/>
  <c r="AA142" i="38"/>
  <c r="U158" i="38"/>
  <c r="T187" i="38"/>
  <c r="AA166" i="38"/>
  <c r="AD166" i="38"/>
  <c r="T166" i="38"/>
  <c r="AD172" i="38"/>
  <c r="T167" i="38"/>
  <c r="T182" i="38"/>
  <c r="T98" i="38"/>
  <c r="T119" i="38"/>
  <c r="T121" i="38"/>
  <c r="AD147" i="38" l="1"/>
  <c r="AD146" i="38"/>
  <c r="AD145" i="38"/>
  <c r="AD143" i="38"/>
  <c r="AC143" i="38"/>
  <c r="AC97" i="38"/>
  <c r="AC159" i="38"/>
  <c r="Z159" i="38"/>
  <c r="Z158" i="38"/>
  <c r="Y159" i="38"/>
  <c r="Y158" i="38"/>
  <c r="X158" i="38"/>
  <c r="X159" i="38"/>
  <c r="W159" i="38"/>
  <c r="U159" i="38"/>
  <c r="Q159" i="38"/>
  <c r="R159" i="38"/>
  <c r="U142" i="38"/>
  <c r="T97" i="38"/>
  <c r="T122" i="38" s="1"/>
  <c r="U122" i="38" s="1"/>
  <c r="AC67" i="38"/>
  <c r="AC10" i="38"/>
  <c r="T10" i="38"/>
  <c r="T67" i="38"/>
  <c r="I213" i="38"/>
  <c r="I212" i="38"/>
  <c r="K212" i="38" s="1"/>
  <c r="T174" i="38"/>
  <c r="T173" i="38"/>
  <c r="AC46" i="38"/>
  <c r="AC44" i="38"/>
  <c r="AC43" i="38"/>
  <c r="T115" i="38"/>
  <c r="T114" i="38"/>
  <c r="U56" i="38"/>
  <c r="T87" i="38" l="1"/>
  <c r="U87" i="38"/>
  <c r="T90" i="38"/>
  <c r="U90" i="38" s="1"/>
  <c r="M89" i="38"/>
  <c r="L89" i="38"/>
  <c r="L88" i="38"/>
  <c r="M88" i="38"/>
  <c r="R88" i="38"/>
  <c r="U88" i="38" s="1"/>
  <c r="R158" i="38"/>
  <c r="K88" i="38"/>
  <c r="W89" i="38"/>
  <c r="AD213" i="38"/>
  <c r="AC90" i="38"/>
  <c r="Y88" i="38"/>
  <c r="R90" i="38"/>
  <c r="AD209" i="38"/>
  <c r="AD208" i="38"/>
  <c r="AA207" i="38"/>
  <c r="Z207" i="38"/>
  <c r="Y207" i="38"/>
  <c r="X207" i="38"/>
  <c r="W207" i="38"/>
  <c r="V207" i="38"/>
  <c r="AD57" i="38"/>
  <c r="AD212" i="38"/>
  <c r="AD211" i="38"/>
  <c r="AD210" i="38"/>
  <c r="AD206" i="38"/>
  <c r="AD205" i="38"/>
  <c r="AD204" i="38"/>
  <c r="AD203" i="38"/>
  <c r="AD202" i="38"/>
  <c r="AD201" i="38"/>
  <c r="AD200" i="38"/>
  <c r="AD199" i="38"/>
  <c r="AD198" i="38"/>
  <c r="AD197" i="38"/>
  <c r="AD196" i="38"/>
  <c r="AD195" i="38"/>
  <c r="AD194" i="38"/>
  <c r="AD193" i="38"/>
  <c r="AD192" i="38"/>
  <c r="AD186" i="38"/>
  <c r="AD185" i="38"/>
  <c r="AD184" i="38"/>
  <c r="AD183" i="38"/>
  <c r="AD181" i="38"/>
  <c r="AD180" i="38"/>
  <c r="AD179" i="38"/>
  <c r="AD177" i="38"/>
  <c r="AD157" i="38"/>
  <c r="AD156" i="38"/>
  <c r="AD155" i="38"/>
  <c r="AD154" i="38"/>
  <c r="AD152" i="38"/>
  <c r="AD151" i="38"/>
  <c r="AD150" i="38"/>
  <c r="AD149" i="38"/>
  <c r="AD148" i="38"/>
  <c r="AD144" i="38"/>
  <c r="AD131" i="38"/>
  <c r="AD130" i="38"/>
  <c r="AD129" i="38"/>
  <c r="AD128" i="38"/>
  <c r="AD127" i="38"/>
  <c r="AD126" i="38"/>
  <c r="AD125" i="38"/>
  <c r="AD124" i="38"/>
  <c r="AD123" i="38"/>
  <c r="AD120" i="38"/>
  <c r="AD118" i="38"/>
  <c r="AD112" i="38"/>
  <c r="AD111" i="38"/>
  <c r="AD109" i="38"/>
  <c r="AD108" i="38"/>
  <c r="AD107" i="38"/>
  <c r="AD106" i="38"/>
  <c r="AD105" i="38"/>
  <c r="AD104" i="38"/>
  <c r="AD103" i="38"/>
  <c r="AD102" i="38"/>
  <c r="AD101" i="38"/>
  <c r="AD100" i="38"/>
  <c r="AD86" i="38"/>
  <c r="AD85" i="38"/>
  <c r="AD84" i="38"/>
  <c r="AD83" i="38"/>
  <c r="AD82" i="38"/>
  <c r="AD81" i="38"/>
  <c r="AD80" i="38"/>
  <c r="AD79" i="38"/>
  <c r="AD78" i="38"/>
  <c r="AD76" i="38"/>
  <c r="AD74" i="38"/>
  <c r="AD73" i="38"/>
  <c r="AD72" i="38"/>
  <c r="AD71" i="38"/>
  <c r="AD70" i="38"/>
  <c r="AD69" i="38"/>
  <c r="AD66" i="38"/>
  <c r="AD65" i="38"/>
  <c r="AD64" i="38"/>
  <c r="AD63" i="38"/>
  <c r="AD62" i="38"/>
  <c r="AD61" i="38"/>
  <c r="AD60" i="38"/>
  <c r="AD59" i="38"/>
  <c r="AD58" i="38"/>
  <c r="AD55" i="38"/>
  <c r="AD54" i="38"/>
  <c r="AD53" i="38"/>
  <c r="AD52" i="38"/>
  <c r="AD51" i="38"/>
  <c r="AD50" i="38"/>
  <c r="AD49" i="38"/>
  <c r="AD48" i="38"/>
  <c r="AD47" i="38"/>
  <c r="AD45" i="38"/>
  <c r="AD42" i="38"/>
  <c r="AD41" i="38"/>
  <c r="AD40" i="38"/>
  <c r="AD39" i="38"/>
  <c r="AD38" i="38"/>
  <c r="AD37" i="38"/>
  <c r="AD36" i="38"/>
  <c r="AD35" i="38"/>
  <c r="AD34" i="38"/>
  <c r="AD33" i="38"/>
  <c r="AD32" i="38"/>
  <c r="AD31" i="38"/>
  <c r="AD30" i="38"/>
  <c r="AD29" i="38"/>
  <c r="AD28" i="38"/>
  <c r="AD27" i="38"/>
  <c r="AD26" i="38"/>
  <c r="AD25" i="38"/>
  <c r="AD24" i="38"/>
  <c r="AD23" i="38"/>
  <c r="AD22" i="38"/>
  <c r="AD21" i="38"/>
  <c r="AD20" i="38"/>
  <c r="AD19" i="38"/>
  <c r="AD18" i="38"/>
  <c r="AD17" i="38"/>
  <c r="AD16" i="38"/>
  <c r="AD15" i="38"/>
  <c r="AD14" i="38"/>
  <c r="AD12" i="38"/>
  <c r="AA208" i="38"/>
  <c r="AA206" i="38"/>
  <c r="AA205" i="38"/>
  <c r="AA204" i="38"/>
  <c r="AA203" i="38"/>
  <c r="AA202" i="38"/>
  <c r="AA201" i="38"/>
  <c r="AA200" i="38"/>
  <c r="AA199" i="38"/>
  <c r="AA198" i="38"/>
  <c r="AA197" i="38"/>
  <c r="AA196" i="38"/>
  <c r="AA195" i="38"/>
  <c r="AA194" i="38"/>
  <c r="AA193" i="38"/>
  <c r="AA192" i="38"/>
  <c r="AA191" i="38"/>
  <c r="AA190" i="38"/>
  <c r="AA189" i="38"/>
  <c r="AA188" i="38"/>
  <c r="AA187" i="38"/>
  <c r="AA186" i="38"/>
  <c r="AA185" i="38"/>
  <c r="AA184" i="38"/>
  <c r="AA183" i="38"/>
  <c r="AA182" i="38"/>
  <c r="AA181" i="38"/>
  <c r="AA180" i="38"/>
  <c r="AA179" i="38"/>
  <c r="AA178" i="38"/>
  <c r="AA177" i="38"/>
  <c r="AA176" i="38"/>
  <c r="AA175" i="38"/>
  <c r="AA174" i="38"/>
  <c r="AA173" i="38"/>
  <c r="AA172" i="38"/>
  <c r="AA171" i="38"/>
  <c r="AA170" i="38"/>
  <c r="AA169" i="38"/>
  <c r="AA168" i="38"/>
  <c r="AA167" i="38"/>
  <c r="AA156" i="38"/>
  <c r="AA155" i="38"/>
  <c r="AA154" i="38"/>
  <c r="AA153" i="38"/>
  <c r="AD153" i="38" s="1"/>
  <c r="AA152" i="38"/>
  <c r="AA151" i="38"/>
  <c r="AA150" i="38"/>
  <c r="AA149" i="38"/>
  <c r="AA148" i="38"/>
  <c r="AA146" i="38"/>
  <c r="AA145" i="38"/>
  <c r="AA144" i="38"/>
  <c r="AA143" i="38"/>
  <c r="AA131" i="38"/>
  <c r="AA130" i="38"/>
  <c r="AA129" i="38"/>
  <c r="AA128" i="38"/>
  <c r="AA127" i="38"/>
  <c r="AA126" i="38"/>
  <c r="AA125" i="38"/>
  <c r="AA124" i="38"/>
  <c r="AA123" i="38"/>
  <c r="AA121" i="38"/>
  <c r="AA120" i="38"/>
  <c r="AA119" i="38"/>
  <c r="AA118" i="38"/>
  <c r="AA117" i="38"/>
  <c r="AA116" i="38"/>
  <c r="AA115" i="38"/>
  <c r="AA113" i="38"/>
  <c r="AA112" i="38"/>
  <c r="AA111" i="38"/>
  <c r="AA110" i="38"/>
  <c r="AA109" i="38"/>
  <c r="AA108" i="38"/>
  <c r="AA107" i="38"/>
  <c r="AA106" i="38"/>
  <c r="AA105" i="38"/>
  <c r="AA104" i="38"/>
  <c r="AA103" i="38"/>
  <c r="AA102" i="38"/>
  <c r="AA101" i="38"/>
  <c r="AA100" i="38"/>
  <c r="AA99" i="38"/>
  <c r="AA98" i="38"/>
  <c r="AA97" i="38"/>
  <c r="AA89" i="38"/>
  <c r="AA87" i="38"/>
  <c r="AA83" i="38"/>
  <c r="AA82" i="38"/>
  <c r="AA81" i="38"/>
  <c r="AA80" i="38"/>
  <c r="AA79" i="38"/>
  <c r="AA78" i="38"/>
  <c r="AA77" i="38"/>
  <c r="AA76" i="38"/>
  <c r="AA75" i="38"/>
  <c r="AA74" i="38"/>
  <c r="AA73" i="38"/>
  <c r="AA72" i="38"/>
  <c r="AA71" i="38"/>
  <c r="AA70" i="38"/>
  <c r="AA69" i="38"/>
  <c r="AA68" i="38"/>
  <c r="AA67" i="38"/>
  <c r="AA66" i="38"/>
  <c r="AA65" i="38"/>
  <c r="AA64" i="38"/>
  <c r="AA63" i="38"/>
  <c r="AA62" i="38"/>
  <c r="AA61" i="38"/>
  <c r="AA60" i="38"/>
  <c r="AA59" i="38"/>
  <c r="AA58" i="38"/>
  <c r="AA57" i="38"/>
  <c r="AA55" i="38"/>
  <c r="AA54" i="38"/>
  <c r="AA53" i="38"/>
  <c r="AA52" i="38"/>
  <c r="AA51" i="38"/>
  <c r="AA50" i="38"/>
  <c r="AA49" i="38"/>
  <c r="AA48" i="38"/>
  <c r="AA47" i="38"/>
  <c r="AA46" i="38"/>
  <c r="AA45" i="38"/>
  <c r="AA44" i="38"/>
  <c r="AA43" i="38"/>
  <c r="AA42" i="38"/>
  <c r="AA41" i="38"/>
  <c r="AA39" i="38"/>
  <c r="AA38" i="38"/>
  <c r="AA37" i="38"/>
  <c r="AA36" i="38"/>
  <c r="AA35" i="38"/>
  <c r="AA34" i="38"/>
  <c r="AA33" i="38"/>
  <c r="AA32" i="38"/>
  <c r="AA31" i="38"/>
  <c r="AA30" i="38"/>
  <c r="AA29" i="38"/>
  <c r="AA28" i="38"/>
  <c r="AA27" i="38"/>
  <c r="AA26" i="38"/>
  <c r="AA25" i="38"/>
  <c r="AA24" i="38"/>
  <c r="AA23" i="38"/>
  <c r="AA22" i="38"/>
  <c r="AA21" i="38"/>
  <c r="AA20" i="38"/>
  <c r="AA19" i="38"/>
  <c r="AA18" i="38"/>
  <c r="AA17" i="38"/>
  <c r="AA16" i="38"/>
  <c r="AA15" i="38"/>
  <c r="AA14" i="38"/>
  <c r="AA13" i="38"/>
  <c r="AD13" i="38" s="1"/>
  <c r="AA12" i="38"/>
  <c r="AA11" i="38"/>
  <c r="AA10" i="38"/>
  <c r="AD10" i="38" s="1"/>
  <c r="Z209" i="38"/>
  <c r="AA209" i="38" s="1"/>
  <c r="Z208" i="38"/>
  <c r="Z206" i="38"/>
  <c r="Z205" i="38"/>
  <c r="Z204" i="38"/>
  <c r="Z203" i="38"/>
  <c r="Z202" i="38"/>
  <c r="Z201" i="38"/>
  <c r="Z200" i="38"/>
  <c r="Z199" i="38"/>
  <c r="Z198" i="38"/>
  <c r="Z197" i="38"/>
  <c r="Z196" i="38"/>
  <c r="Z195" i="38"/>
  <c r="Z194" i="38"/>
  <c r="Z193" i="38"/>
  <c r="Z192" i="38"/>
  <c r="Z191" i="38"/>
  <c r="Z190" i="38"/>
  <c r="Z189" i="38"/>
  <c r="Z188" i="38"/>
  <c r="Z187" i="38"/>
  <c r="Z186" i="38"/>
  <c r="Z185" i="38"/>
  <c r="Z184" i="38"/>
  <c r="Z183" i="38"/>
  <c r="Z182" i="38"/>
  <c r="Z181" i="38"/>
  <c r="Z180" i="38"/>
  <c r="Z179" i="38"/>
  <c r="Z178" i="38"/>
  <c r="Z177" i="38"/>
  <c r="Z176" i="38"/>
  <c r="Z175" i="38"/>
  <c r="Z174" i="38"/>
  <c r="Z173" i="38"/>
  <c r="Z172" i="38"/>
  <c r="Z171" i="38"/>
  <c r="Z170" i="38"/>
  <c r="Z169" i="38"/>
  <c r="Z168" i="38"/>
  <c r="Z167" i="38"/>
  <c r="Z166" i="38"/>
  <c r="Z157" i="38"/>
  <c r="Z156" i="38"/>
  <c r="Z155" i="38"/>
  <c r="Z154" i="38"/>
  <c r="Z153" i="38"/>
  <c r="Z152" i="38"/>
  <c r="Z151" i="38"/>
  <c r="Z150" i="38"/>
  <c r="Z149" i="38"/>
  <c r="Z148" i="38"/>
  <c r="Z147" i="38"/>
  <c r="AA147" i="38" s="1"/>
  <c r="Z146" i="38"/>
  <c r="Z145" i="38"/>
  <c r="Z144" i="38"/>
  <c r="Z143" i="38"/>
  <c r="Z142" i="38"/>
  <c r="Z129" i="38"/>
  <c r="Z123" i="38"/>
  <c r="Z122" i="38"/>
  <c r="Z121" i="38"/>
  <c r="Z120" i="38"/>
  <c r="Z119" i="38"/>
  <c r="Z118" i="38"/>
  <c r="Z117" i="38"/>
  <c r="Z116" i="38"/>
  <c r="Z115" i="38"/>
  <c r="Z114" i="38"/>
  <c r="AA114" i="38" s="1"/>
  <c r="Z113" i="38"/>
  <c r="Z112" i="38"/>
  <c r="Z111" i="38"/>
  <c r="Z110" i="38"/>
  <c r="Z109" i="38"/>
  <c r="Z108" i="38"/>
  <c r="Z107" i="38"/>
  <c r="Z106" i="38"/>
  <c r="Z105" i="38"/>
  <c r="Z104" i="38"/>
  <c r="Z103" i="38"/>
  <c r="Z102" i="38"/>
  <c r="Z101" i="38"/>
  <c r="Z100" i="38"/>
  <c r="Z99" i="38"/>
  <c r="Z98" i="38"/>
  <c r="Z97" i="38"/>
  <c r="Z90" i="38"/>
  <c r="AA90" i="38" s="1"/>
  <c r="Z89" i="38"/>
  <c r="Z88" i="38"/>
  <c r="AA88" i="38" s="1"/>
  <c r="Z87" i="38"/>
  <c r="Z83" i="38"/>
  <c r="Z82" i="38"/>
  <c r="Z81" i="38"/>
  <c r="Z80" i="38"/>
  <c r="Z79" i="38"/>
  <c r="Z78" i="38"/>
  <c r="Z77" i="38"/>
  <c r="Z76" i="38"/>
  <c r="Z75" i="38"/>
  <c r="Z74" i="38"/>
  <c r="Z73" i="38"/>
  <c r="Z72" i="38"/>
  <c r="Z71" i="38"/>
  <c r="Z70" i="38"/>
  <c r="Z69" i="38"/>
  <c r="Z68" i="38"/>
  <c r="Z67" i="38"/>
  <c r="Z66" i="38"/>
  <c r="Z65" i="38"/>
  <c r="Z64" i="38"/>
  <c r="Z63" i="38"/>
  <c r="Z62" i="38"/>
  <c r="Z61" i="38"/>
  <c r="Z60" i="38"/>
  <c r="Z59" i="38"/>
  <c r="Z58" i="38"/>
  <c r="Z57" i="38"/>
  <c r="Z56" i="38"/>
  <c r="AA56" i="38" s="1"/>
  <c r="Z55" i="38"/>
  <c r="Z54" i="38"/>
  <c r="Z53" i="38"/>
  <c r="Z52" i="38"/>
  <c r="Z51" i="38"/>
  <c r="Z50" i="38"/>
  <c r="Z49" i="38"/>
  <c r="Z48" i="38"/>
  <c r="Z47" i="38"/>
  <c r="Z46" i="38"/>
  <c r="Z45" i="38"/>
  <c r="Z44" i="38"/>
  <c r="Z43" i="38"/>
  <c r="Z42" i="38"/>
  <c r="Z41" i="38"/>
  <c r="Z39" i="38"/>
  <c r="Z38" i="38"/>
  <c r="Z37" i="38"/>
  <c r="Z36" i="38"/>
  <c r="Z35" i="38"/>
  <c r="Z34" i="38"/>
  <c r="Z33" i="38"/>
  <c r="Z32" i="38"/>
  <c r="Z31" i="38"/>
  <c r="Z30" i="38"/>
  <c r="Z29" i="38"/>
  <c r="Z28" i="38"/>
  <c r="Z27" i="38"/>
  <c r="Z26" i="38"/>
  <c r="Z25" i="38"/>
  <c r="Z24" i="38"/>
  <c r="Z23" i="38"/>
  <c r="Z22" i="38"/>
  <c r="Z21" i="38"/>
  <c r="Z20" i="38"/>
  <c r="Z19" i="38"/>
  <c r="Z18" i="38"/>
  <c r="Z17" i="38"/>
  <c r="Z16" i="38"/>
  <c r="Z15" i="38"/>
  <c r="Z14" i="38"/>
  <c r="Z13" i="38"/>
  <c r="Z12" i="38"/>
  <c r="Z11" i="38"/>
  <c r="Z10" i="38"/>
  <c r="P158" i="38"/>
  <c r="Q158" i="38"/>
  <c r="AD87" i="38" l="1"/>
  <c r="V159" i="38"/>
  <c r="AA159" i="38" s="1"/>
  <c r="AD159" i="38" s="1"/>
  <c r="V122" i="38"/>
  <c r="AA122" i="38" s="1"/>
  <c r="I89" i="38" l="1"/>
  <c r="K89" i="38" s="1"/>
  <c r="G89" i="38"/>
  <c r="K97" i="38"/>
  <c r="I56" i="38"/>
  <c r="G56" i="38"/>
  <c r="I157" i="38"/>
  <c r="G157" i="38"/>
  <c r="G122" i="38"/>
  <c r="K82" i="38" l="1"/>
  <c r="G213" i="38"/>
  <c r="I10" i="38"/>
  <c r="G10" i="38"/>
  <c r="I68" i="38"/>
  <c r="G67" i="38"/>
  <c r="G68" i="38"/>
  <c r="I75" i="38"/>
  <c r="G75" i="38"/>
  <c r="K166" i="38"/>
  <c r="I122" i="38"/>
  <c r="I207" i="38"/>
  <c r="G207" i="38"/>
  <c r="K122" i="38" l="1"/>
  <c r="M67" i="38"/>
  <c r="Q67" i="38"/>
  <c r="P67" i="38"/>
  <c r="O67" i="38"/>
  <c r="N67" i="38"/>
  <c r="I67" i="38" l="1"/>
  <c r="U211" i="38"/>
  <c r="K213" i="38"/>
  <c r="K211" i="38"/>
  <c r="K210" i="38"/>
  <c r="U210" i="38" s="1"/>
  <c r="K209" i="38"/>
  <c r="K208" i="38"/>
  <c r="K206" i="38"/>
  <c r="K205" i="38"/>
  <c r="K204" i="38"/>
  <c r="K203" i="38"/>
  <c r="K202" i="38"/>
  <c r="K201" i="38"/>
  <c r="K200" i="38"/>
  <c r="K199" i="38"/>
  <c r="K198" i="38"/>
  <c r="K197" i="38"/>
  <c r="K196" i="38"/>
  <c r="K195" i="38"/>
  <c r="K194" i="38"/>
  <c r="K193" i="38"/>
  <c r="K192" i="38"/>
  <c r="K191" i="38"/>
  <c r="K190" i="38"/>
  <c r="K189" i="38"/>
  <c r="K188" i="38"/>
  <c r="K187" i="38"/>
  <c r="K186" i="38"/>
  <c r="K185" i="38"/>
  <c r="K184" i="38"/>
  <c r="K183" i="38"/>
  <c r="K182" i="38"/>
  <c r="K181" i="38"/>
  <c r="K180" i="38"/>
  <c r="K179" i="38"/>
  <c r="K178" i="38"/>
  <c r="K177" i="38"/>
  <c r="K176" i="38"/>
  <c r="K175" i="38"/>
  <c r="K172" i="38"/>
  <c r="K171" i="38"/>
  <c r="K170" i="38"/>
  <c r="K169" i="38"/>
  <c r="K168" i="38"/>
  <c r="K167" i="38"/>
  <c r="K157" i="38"/>
  <c r="K156" i="38"/>
  <c r="K155" i="38"/>
  <c r="K154" i="38"/>
  <c r="K153" i="38"/>
  <c r="K152" i="38"/>
  <c r="K151" i="38"/>
  <c r="K150" i="38"/>
  <c r="K149" i="38"/>
  <c r="K148" i="38"/>
  <c r="K146" i="38"/>
  <c r="K145" i="38"/>
  <c r="K142" i="38"/>
  <c r="K131" i="38"/>
  <c r="K130" i="38"/>
  <c r="K129" i="38"/>
  <c r="K128" i="38"/>
  <c r="K127" i="38"/>
  <c r="K126" i="38"/>
  <c r="K125" i="38"/>
  <c r="K124" i="38"/>
  <c r="K123" i="38"/>
  <c r="K121" i="38"/>
  <c r="K120" i="38"/>
  <c r="K119" i="38"/>
  <c r="K118" i="38"/>
  <c r="K117" i="38"/>
  <c r="K116" i="38"/>
  <c r="K113" i="38"/>
  <c r="K112" i="38"/>
  <c r="K111" i="38"/>
  <c r="K110" i="38"/>
  <c r="K109" i="38"/>
  <c r="K108" i="38"/>
  <c r="K107" i="38"/>
  <c r="K106" i="38"/>
  <c r="K105" i="38"/>
  <c r="K104" i="38"/>
  <c r="K103" i="38"/>
  <c r="K102" i="38"/>
  <c r="K101" i="38"/>
  <c r="K100" i="38"/>
  <c r="K99" i="38"/>
  <c r="AD88" i="38"/>
  <c r="K87" i="38"/>
  <c r="K86" i="38"/>
  <c r="K85" i="38"/>
  <c r="K84" i="38"/>
  <c r="K83" i="38"/>
  <c r="K81" i="38"/>
  <c r="K80" i="38"/>
  <c r="K79" i="38"/>
  <c r="K78" i="38"/>
  <c r="K77" i="38"/>
  <c r="K76" i="38"/>
  <c r="K75" i="38"/>
  <c r="K74" i="38"/>
  <c r="K73" i="38"/>
  <c r="K72" i="38"/>
  <c r="K71" i="38"/>
  <c r="K70" i="38"/>
  <c r="K69" i="38"/>
  <c r="K68" i="38"/>
  <c r="K66" i="38"/>
  <c r="K65" i="38"/>
  <c r="K64" i="38"/>
  <c r="K63" i="38"/>
  <c r="K62" i="38"/>
  <c r="K61" i="38"/>
  <c r="K60" i="38"/>
  <c r="K59" i="38"/>
  <c r="K58" i="38"/>
  <c r="K57" i="38"/>
  <c r="K56" i="38"/>
  <c r="K55" i="38"/>
  <c r="K54" i="38"/>
  <c r="K53" i="38"/>
  <c r="K52" i="38"/>
  <c r="K51" i="38"/>
  <c r="K50" i="38"/>
  <c r="K49" i="38"/>
  <c r="K48" i="38"/>
  <c r="K47" i="38"/>
  <c r="K46" i="38"/>
  <c r="K45" i="38"/>
  <c r="K44" i="38"/>
  <c r="K43" i="38"/>
  <c r="K42" i="38"/>
  <c r="K41" i="38"/>
  <c r="K40" i="38"/>
  <c r="K39" i="38"/>
  <c r="K38" i="38"/>
  <c r="K37" i="38"/>
  <c r="K36" i="38"/>
  <c r="K35" i="38"/>
  <c r="K34" i="38"/>
  <c r="K33" i="38"/>
  <c r="K32" i="38"/>
  <c r="K31" i="38"/>
  <c r="K30" i="38"/>
  <c r="K29" i="38"/>
  <c r="K28" i="38"/>
  <c r="K27" i="38"/>
  <c r="K26" i="38"/>
  <c r="K25" i="38"/>
  <c r="K24" i="38"/>
  <c r="K23" i="38"/>
  <c r="K22" i="38"/>
  <c r="K21" i="38"/>
  <c r="K20" i="38"/>
  <c r="K19" i="38"/>
  <c r="K18" i="38"/>
  <c r="K17" i="38"/>
  <c r="K16" i="38"/>
  <c r="K15" i="38"/>
  <c r="K14" i="38"/>
  <c r="K13" i="38"/>
  <c r="K12" i="38"/>
  <c r="K11" i="38"/>
  <c r="K10" i="38"/>
  <c r="T179" i="38"/>
  <c r="T178" i="38" s="1"/>
  <c r="T207" i="38" s="1"/>
  <c r="K207" i="38" l="1"/>
  <c r="K67" i="38"/>
  <c r="K174" i="38" l="1"/>
  <c r="K173" i="38"/>
  <c r="K115" i="38"/>
  <c r="R209" i="38"/>
  <c r="U209" i="38" s="1"/>
  <c r="U213" i="38" s="1"/>
  <c r="R208" i="38"/>
  <c r="U208" i="38" s="1"/>
  <c r="R206" i="38"/>
  <c r="U206" i="38" s="1"/>
  <c r="R205" i="38"/>
  <c r="U205" i="38" s="1"/>
  <c r="R204" i="38"/>
  <c r="U204" i="38" s="1"/>
  <c r="R203" i="38"/>
  <c r="U203" i="38" s="1"/>
  <c r="R202" i="38"/>
  <c r="U202" i="38" s="1"/>
  <c r="R201" i="38"/>
  <c r="U201" i="38" s="1"/>
  <c r="R199" i="38"/>
  <c r="U199" i="38" s="1"/>
  <c r="R198" i="38"/>
  <c r="U198" i="38" s="1"/>
  <c r="R197" i="38"/>
  <c r="U197" i="38" s="1"/>
  <c r="R196" i="38"/>
  <c r="U196" i="38" s="1"/>
  <c r="R195" i="38"/>
  <c r="U195" i="38" s="1"/>
  <c r="R193" i="38"/>
  <c r="U193" i="38" s="1"/>
  <c r="R192" i="38"/>
  <c r="U192" i="38" s="1"/>
  <c r="R191" i="38"/>
  <c r="U191" i="38" s="1"/>
  <c r="AD191" i="38" s="1"/>
  <c r="R190" i="38"/>
  <c r="U190" i="38" s="1"/>
  <c r="AD190" i="38" s="1"/>
  <c r="R189" i="38"/>
  <c r="U189" i="38" s="1"/>
  <c r="AD189" i="38" s="1"/>
  <c r="R186" i="38"/>
  <c r="U186" i="38" s="1"/>
  <c r="R185" i="38"/>
  <c r="U185" i="38" s="1"/>
  <c r="R184" i="38"/>
  <c r="U184" i="38" s="1"/>
  <c r="R183" i="38"/>
  <c r="U183" i="38" s="1"/>
  <c r="R181" i="38"/>
  <c r="U181" i="38" s="1"/>
  <c r="R180" i="38"/>
  <c r="U180" i="38" s="1"/>
  <c r="R179" i="38"/>
  <c r="U179" i="38" s="1"/>
  <c r="R177" i="38"/>
  <c r="U177" i="38" s="1"/>
  <c r="R176" i="38"/>
  <c r="U176" i="38" s="1"/>
  <c r="AD176" i="38" s="1"/>
  <c r="R175" i="38"/>
  <c r="U175" i="38" s="1"/>
  <c r="AD175" i="38" s="1"/>
  <c r="R174" i="38"/>
  <c r="R172" i="38"/>
  <c r="U172" i="38" s="1"/>
  <c r="R171" i="38"/>
  <c r="U171" i="38" s="1"/>
  <c r="AD171" i="38" s="1"/>
  <c r="R170" i="38"/>
  <c r="U170" i="38" s="1"/>
  <c r="AD170" i="38" s="1"/>
  <c r="R169" i="38"/>
  <c r="U169" i="38" s="1"/>
  <c r="AD169" i="38" s="1"/>
  <c r="R157" i="38"/>
  <c r="U157" i="38" s="1"/>
  <c r="R156" i="38"/>
  <c r="U156" i="38" s="1"/>
  <c r="R155" i="38"/>
  <c r="U155" i="38" s="1"/>
  <c r="R154" i="38"/>
  <c r="U154" i="38" s="1"/>
  <c r="R153" i="38"/>
  <c r="U153" i="38" s="1"/>
  <c r="R152" i="38"/>
  <c r="U152" i="38" s="1"/>
  <c r="R151" i="38"/>
  <c r="U151" i="38" s="1"/>
  <c r="R150" i="38"/>
  <c r="U150" i="38" s="1"/>
  <c r="R149" i="38"/>
  <c r="U149" i="38" s="1"/>
  <c r="R148" i="38"/>
  <c r="U148" i="38" s="1"/>
  <c r="R146" i="38"/>
  <c r="U146" i="38" s="1"/>
  <c r="R145" i="38"/>
  <c r="U145" i="38" s="1"/>
  <c r="R142" i="38"/>
  <c r="R131" i="38"/>
  <c r="U131" i="38" s="1"/>
  <c r="R130" i="38"/>
  <c r="U130" i="38" s="1"/>
  <c r="R129" i="38"/>
  <c r="U129" i="38" s="1"/>
  <c r="R128" i="38"/>
  <c r="U128" i="38" s="1"/>
  <c r="R127" i="38"/>
  <c r="U127" i="38" s="1"/>
  <c r="R126" i="38"/>
  <c r="U126" i="38" s="1"/>
  <c r="R125" i="38"/>
  <c r="U125" i="38" s="1"/>
  <c r="R124" i="38"/>
  <c r="U124" i="38" s="1"/>
  <c r="R123" i="38"/>
  <c r="U123" i="38" s="1"/>
  <c r="R121" i="38"/>
  <c r="U121" i="38" s="1"/>
  <c r="AD121" i="38" s="1"/>
  <c r="R120" i="38"/>
  <c r="U120" i="38" s="1"/>
  <c r="R118" i="38"/>
  <c r="U118" i="38" s="1"/>
  <c r="R117" i="38"/>
  <c r="U117" i="38" s="1"/>
  <c r="AD117" i="38" s="1"/>
  <c r="R116" i="38"/>
  <c r="U116" i="38" s="1"/>
  <c r="AD116" i="38" s="1"/>
  <c r="R113" i="38"/>
  <c r="U113" i="38" s="1"/>
  <c r="AD113" i="38" s="1"/>
  <c r="R112" i="38"/>
  <c r="U112" i="38" s="1"/>
  <c r="R111" i="38"/>
  <c r="U111" i="38" s="1"/>
  <c r="R109" i="38"/>
  <c r="U109" i="38" s="1"/>
  <c r="R108" i="38"/>
  <c r="U108" i="38" s="1"/>
  <c r="R107" i="38"/>
  <c r="U107" i="38" s="1"/>
  <c r="R104" i="38"/>
  <c r="U104" i="38" s="1"/>
  <c r="R103" i="38"/>
  <c r="U103" i="38" s="1"/>
  <c r="R102" i="38"/>
  <c r="U102" i="38" s="1"/>
  <c r="L200" i="38"/>
  <c r="L194" i="38"/>
  <c r="L188" i="38"/>
  <c r="L178" i="38"/>
  <c r="L144" i="38"/>
  <c r="L119" i="38"/>
  <c r="L100" i="38"/>
  <c r="L99" i="38" s="1"/>
  <c r="L98" i="38" s="1"/>
  <c r="L29" i="38"/>
  <c r="K114" i="38" l="1"/>
  <c r="K98" i="38"/>
  <c r="L97" i="38"/>
  <c r="U174" i="38"/>
  <c r="AD174" i="38" s="1"/>
  <c r="R29" i="38"/>
  <c r="U29" i="38" s="1"/>
  <c r="AD90" i="38"/>
  <c r="R87" i="38"/>
  <c r="R86" i="38"/>
  <c r="U86" i="38" s="1"/>
  <c r="R85" i="38"/>
  <c r="U85" i="38" s="1"/>
  <c r="R83" i="38"/>
  <c r="U83" i="38" s="1"/>
  <c r="R82" i="38"/>
  <c r="U82" i="38" s="1"/>
  <c r="R81" i="38"/>
  <c r="U81" i="38" s="1"/>
  <c r="R80" i="38"/>
  <c r="U80" i="38" s="1"/>
  <c r="R79" i="38"/>
  <c r="U79" i="38" s="1"/>
  <c r="R78" i="38"/>
  <c r="U78" i="38" s="1"/>
  <c r="R77" i="38"/>
  <c r="U77" i="38" s="1"/>
  <c r="AD77" i="38" s="1"/>
  <c r="R76" i="38"/>
  <c r="U76" i="38" s="1"/>
  <c r="R74" i="38"/>
  <c r="U74" i="38" s="1"/>
  <c r="R73" i="38"/>
  <c r="U73" i="38" s="1"/>
  <c r="R72" i="38"/>
  <c r="U72" i="38" s="1"/>
  <c r="R71" i="38"/>
  <c r="U71" i="38" s="1"/>
  <c r="R70" i="38"/>
  <c r="U70" i="38" s="1"/>
  <c r="R66" i="38"/>
  <c r="U66" i="38" s="1"/>
  <c r="R65" i="38"/>
  <c r="U65" i="38" s="1"/>
  <c r="R64" i="38"/>
  <c r="U64" i="38" s="1"/>
  <c r="R63" i="38"/>
  <c r="U63" i="38" s="1"/>
  <c r="R62" i="38"/>
  <c r="U62" i="38" s="1"/>
  <c r="R61" i="38"/>
  <c r="U61" i="38" s="1"/>
  <c r="R60" i="38"/>
  <c r="U60" i="38" s="1"/>
  <c r="R59" i="38"/>
  <c r="U59" i="38" s="1"/>
  <c r="R58" i="38"/>
  <c r="U58" i="38" s="1"/>
  <c r="R57" i="38"/>
  <c r="U57" i="38" s="1"/>
  <c r="R55" i="38"/>
  <c r="U55" i="38" s="1"/>
  <c r="R54" i="38"/>
  <c r="U54" i="38" s="1"/>
  <c r="R53" i="38"/>
  <c r="U53" i="38" s="1"/>
  <c r="R52" i="38"/>
  <c r="U52" i="38" s="1"/>
  <c r="R51" i="38"/>
  <c r="U51" i="38" s="1"/>
  <c r="R50" i="38"/>
  <c r="U50" i="38" s="1"/>
  <c r="R49" i="38"/>
  <c r="U49" i="38" s="1"/>
  <c r="R48" i="38"/>
  <c r="U48" i="38" s="1"/>
  <c r="R47" i="38"/>
  <c r="U47" i="38" s="1"/>
  <c r="R46" i="38"/>
  <c r="U46" i="38" s="1"/>
  <c r="AD46" i="38" s="1"/>
  <c r="R45" i="38"/>
  <c r="U45" i="38" s="1"/>
  <c r="R42" i="38"/>
  <c r="U42" i="38" s="1"/>
  <c r="R41" i="38"/>
  <c r="U41" i="38" s="1"/>
  <c r="R39" i="38"/>
  <c r="U39" i="38" s="1"/>
  <c r="R38" i="38"/>
  <c r="U38" i="38" s="1"/>
  <c r="R37" i="38"/>
  <c r="U37" i="38" s="1"/>
  <c r="R36" i="38"/>
  <c r="U36" i="38" s="1"/>
  <c r="R35" i="38"/>
  <c r="U35" i="38" s="1"/>
  <c r="R34" i="38"/>
  <c r="U34" i="38" s="1"/>
  <c r="R33" i="38"/>
  <c r="U33" i="38" s="1"/>
  <c r="R32" i="38"/>
  <c r="U32" i="38" s="1"/>
  <c r="R31" i="38"/>
  <c r="U31" i="38" s="1"/>
  <c r="R30" i="38"/>
  <c r="U30" i="38" s="1"/>
  <c r="R28" i="38"/>
  <c r="U28" i="38" s="1"/>
  <c r="R27" i="38"/>
  <c r="U27" i="38" s="1"/>
  <c r="R26" i="38"/>
  <c r="U26" i="38" s="1"/>
  <c r="R25" i="38"/>
  <c r="U25" i="38" s="1"/>
  <c r="R24" i="38"/>
  <c r="U24" i="38" s="1"/>
  <c r="R23" i="38"/>
  <c r="U23" i="38" s="1"/>
  <c r="R22" i="38"/>
  <c r="U22" i="38" s="1"/>
  <c r="R21" i="38"/>
  <c r="U21" i="38" s="1"/>
  <c r="R20" i="38"/>
  <c r="U20" i="38" s="1"/>
  <c r="R19" i="38"/>
  <c r="U19" i="38" s="1"/>
  <c r="R18" i="38"/>
  <c r="U18" i="38" s="1"/>
  <c r="R17" i="38"/>
  <c r="U17" i="38" s="1"/>
  <c r="R16" i="38"/>
  <c r="U16" i="38" s="1"/>
  <c r="R15" i="38"/>
  <c r="U15" i="38" s="1"/>
  <c r="R14" i="38"/>
  <c r="U14" i="38" s="1"/>
  <c r="R13" i="38"/>
  <c r="U13" i="38" s="1"/>
  <c r="I144" i="38"/>
  <c r="K144" i="38" s="1"/>
  <c r="I143" i="38"/>
  <c r="K143" i="38" s="1"/>
  <c r="G144" i="38"/>
  <c r="G143" i="38"/>
  <c r="G158" i="38" s="1"/>
  <c r="G159" i="38" s="1"/>
  <c r="L122" i="38" l="1"/>
  <c r="I158" i="38"/>
  <c r="L12" i="38"/>
  <c r="I147" i="38"/>
  <c r="K147" i="38" s="1"/>
  <c r="G147" i="38"/>
  <c r="I159" i="38" l="1"/>
  <c r="K159" i="38" s="1"/>
  <c r="K158" i="38"/>
  <c r="Q200" i="38"/>
  <c r="P200" i="38"/>
  <c r="P178" i="38"/>
  <c r="Q187" i="38"/>
  <c r="P187" i="38"/>
  <c r="Q178" i="38"/>
  <c r="Q173" i="38"/>
  <c r="P173" i="38"/>
  <c r="Q168" i="38"/>
  <c r="P168" i="38"/>
  <c r="M200" i="38"/>
  <c r="M187" i="38"/>
  <c r="M178" i="38"/>
  <c r="L187" i="38"/>
  <c r="M173" i="38"/>
  <c r="L173" i="38"/>
  <c r="M168" i="38"/>
  <c r="L168" i="38"/>
  <c r="L143" i="38"/>
  <c r="M119" i="38"/>
  <c r="M100" i="38"/>
  <c r="Q11" i="38"/>
  <c r="P98" i="38"/>
  <c r="P97" i="38" s="1"/>
  <c r="P122" i="38" s="1"/>
  <c r="P143" i="38" s="1"/>
  <c r="P11" i="38"/>
  <c r="Q98" i="38"/>
  <c r="Q97" i="38" s="1"/>
  <c r="Q122" i="38" s="1"/>
  <c r="Q143" i="38" s="1"/>
  <c r="O11" i="38"/>
  <c r="N11" i="38"/>
  <c r="M11" i="38"/>
  <c r="O187" i="38"/>
  <c r="R89" i="38"/>
  <c r="U89" i="38" s="1"/>
  <c r="AD89" i="38" s="1"/>
  <c r="L84" i="38"/>
  <c r="R84" i="38" s="1"/>
  <c r="U84" i="38" s="1"/>
  <c r="M99" i="38" l="1"/>
  <c r="L158" i="38"/>
  <c r="R200" i="38"/>
  <c r="U200" i="38" s="1"/>
  <c r="P167" i="38"/>
  <c r="P166" i="38" s="1"/>
  <c r="P207" i="38" s="1"/>
  <c r="L167" i="38"/>
  <c r="L147" i="38"/>
  <c r="Q167" i="38"/>
  <c r="Q166" i="38" s="1"/>
  <c r="Q207" i="38" s="1"/>
  <c r="M167" i="38"/>
  <c r="M166" i="38" s="1"/>
  <c r="M207" i="38" s="1"/>
  <c r="Q147" i="38"/>
  <c r="P147" i="38"/>
  <c r="P159" i="38"/>
  <c r="O101" i="38"/>
  <c r="R101" i="38" s="1"/>
  <c r="U101" i="38" s="1"/>
  <c r="O168" i="38"/>
  <c r="L159" i="38" l="1"/>
  <c r="L166" i="38"/>
  <c r="M98" i="38"/>
  <c r="O144" i="38"/>
  <c r="O100" i="38"/>
  <c r="R100" i="38" s="1"/>
  <c r="U100" i="38" s="1"/>
  <c r="O106" i="38"/>
  <c r="R106" i="38" s="1"/>
  <c r="U106" i="38" s="1"/>
  <c r="O119" i="38"/>
  <c r="R119" i="38" s="1"/>
  <c r="U119" i="38" s="1"/>
  <c r="AD119" i="38" s="1"/>
  <c r="O115" i="38"/>
  <c r="R115" i="38" s="1"/>
  <c r="U115" i="38" s="1"/>
  <c r="AD115" i="38" s="1"/>
  <c r="O110" i="38"/>
  <c r="R110" i="38" s="1"/>
  <c r="U110" i="38" s="1"/>
  <c r="AD110" i="38" s="1"/>
  <c r="L207" i="38" l="1"/>
  <c r="M97" i="38"/>
  <c r="O114" i="38"/>
  <c r="R114" i="38" s="1"/>
  <c r="U114" i="38" s="1"/>
  <c r="AD114" i="38" s="1"/>
  <c r="O105" i="38"/>
  <c r="M122" i="38" l="1"/>
  <c r="O99" i="38"/>
  <c r="R105" i="38"/>
  <c r="U105" i="38" s="1"/>
  <c r="O98" i="38" l="1"/>
  <c r="M143" i="38"/>
  <c r="O182" i="38"/>
  <c r="O173" i="38"/>
  <c r="O167" i="38" s="1"/>
  <c r="N168" i="38"/>
  <c r="R168" i="38" s="1"/>
  <c r="U168" i="38" s="1"/>
  <c r="AD168" i="38" s="1"/>
  <c r="N173" i="38"/>
  <c r="N178" i="38"/>
  <c r="N188" i="38"/>
  <c r="R188" i="38" s="1"/>
  <c r="U188" i="38" s="1"/>
  <c r="AD188" i="38" s="1"/>
  <c r="N194" i="38"/>
  <c r="R194" i="38" s="1"/>
  <c r="U194" i="38" s="1"/>
  <c r="N144" i="38"/>
  <c r="R144" i="38" s="1"/>
  <c r="U144" i="38" s="1"/>
  <c r="N143" i="38"/>
  <c r="M158" i="38" l="1"/>
  <c r="M147" i="38"/>
  <c r="O178" i="38"/>
  <c r="R178" i="38" s="1"/>
  <c r="U178" i="38" s="1"/>
  <c r="AD178" i="38" s="1"/>
  <c r="R182" i="38"/>
  <c r="U182" i="38" s="1"/>
  <c r="AD182" i="38" s="1"/>
  <c r="R173" i="38"/>
  <c r="U173" i="38" s="1"/>
  <c r="AD173" i="38" s="1"/>
  <c r="O97" i="38"/>
  <c r="R98" i="38"/>
  <c r="U98" i="38" s="1"/>
  <c r="AD98" i="38" s="1"/>
  <c r="N158" i="38"/>
  <c r="N159" i="38" s="1"/>
  <c r="N187" i="38"/>
  <c r="R187" i="38" s="1"/>
  <c r="U187" i="38" s="1"/>
  <c r="AD187" i="38" s="1"/>
  <c r="N167" i="38"/>
  <c r="R167" i="38" s="1"/>
  <c r="U167" i="38" s="1"/>
  <c r="AD167" i="38" s="1"/>
  <c r="L75" i="38"/>
  <c r="R75" i="38" s="1"/>
  <c r="U75" i="38" s="1"/>
  <c r="AD75" i="38" s="1"/>
  <c r="L69" i="38"/>
  <c r="L56" i="38"/>
  <c r="R56" i="38" s="1"/>
  <c r="AD56" i="38" s="1"/>
  <c r="L44" i="38"/>
  <c r="L40" i="38"/>
  <c r="R40" i="38" s="1"/>
  <c r="U40" i="38" s="1"/>
  <c r="O122" i="38" l="1"/>
  <c r="R97" i="38"/>
  <c r="U97" i="38" s="1"/>
  <c r="AD97" i="38" s="1"/>
  <c r="R69" i="38"/>
  <c r="U69" i="38" s="1"/>
  <c r="L68" i="38"/>
  <c r="L67" i="38" s="1"/>
  <c r="R67" i="38" s="1"/>
  <c r="U67" i="38" s="1"/>
  <c r="AD67" i="38" s="1"/>
  <c r="O166" i="38"/>
  <c r="O207" i="38" s="1"/>
  <c r="M159" i="38"/>
  <c r="L43" i="38"/>
  <c r="R43" i="38" s="1"/>
  <c r="U43" i="38" s="1"/>
  <c r="AD43" i="38" s="1"/>
  <c r="R44" i="38"/>
  <c r="U44" i="38" s="1"/>
  <c r="AD44" i="38" s="1"/>
  <c r="N166" i="38"/>
  <c r="R68" i="38"/>
  <c r="U68" i="38" s="1"/>
  <c r="N207" i="38" l="1"/>
  <c r="R166" i="38"/>
  <c r="O143" i="38"/>
  <c r="R122" i="38"/>
  <c r="AD122" i="38" s="1"/>
  <c r="L11" i="38"/>
  <c r="R12" i="38"/>
  <c r="U12" i="38" s="1"/>
  <c r="R207" i="38" l="1"/>
  <c r="U166" i="38"/>
  <c r="O158" i="38"/>
  <c r="O147" i="38"/>
  <c r="R147" i="38" s="1"/>
  <c r="R143" i="38"/>
  <c r="U143" i="38" s="1"/>
  <c r="U147" i="38" s="1"/>
  <c r="R11" i="38"/>
  <c r="U11" i="38" s="1"/>
  <c r="L10" i="38"/>
  <c r="R10" i="38" s="1"/>
  <c r="U207" i="38" l="1"/>
  <c r="AD207" i="38"/>
  <c r="O159" i="38"/>
</calcChain>
</file>

<file path=xl/comments1.xml><?xml version="1.0" encoding="utf-8"?>
<comments xmlns="http://schemas.openxmlformats.org/spreadsheetml/2006/main">
  <authors>
    <author>achimin</author>
  </authors>
  <commentList>
    <comment ref="O101" authorId="0">
      <text>
        <r>
          <rPr>
            <b/>
            <sz val="11"/>
            <color indexed="81"/>
            <rFont val="ＭＳ Ｐゴシック"/>
            <family val="3"/>
            <charset val="128"/>
          </rPr>
          <t>決算統計94表01行11列マイナス前期賞与引当金</t>
        </r>
      </text>
    </comment>
    <comment ref="O105" authorId="0">
      <text>
        <r>
          <rPr>
            <b/>
            <sz val="11"/>
            <color indexed="81"/>
            <rFont val="ＭＳ Ｐゴシック"/>
            <family val="3"/>
            <charset val="128"/>
          </rPr>
          <t>決算統計94表01行9列マイナス11列（人件費）</t>
        </r>
      </text>
    </comment>
    <comment ref="O106" authorId="0">
      <text>
        <r>
          <rPr>
            <b/>
            <sz val="11"/>
            <color indexed="81"/>
            <rFont val="ＭＳ Ｐゴシック"/>
            <family val="3"/>
            <charset val="128"/>
          </rPr>
          <t>決算統計94表01行9列マイナス11列（人件費）</t>
        </r>
      </text>
    </comment>
    <comment ref="O112" authorId="0">
      <text>
        <r>
          <rPr>
            <b/>
            <sz val="9"/>
            <color indexed="81"/>
            <rFont val="ＭＳ Ｐゴシック"/>
            <family val="3"/>
            <charset val="128"/>
          </rPr>
          <t>過年度分と現年度分の回収不能額を計上
長期分　３，４５１千円
現年分　５，７１９千円</t>
        </r>
      </text>
    </comment>
    <comment ref="O113" authorId="0">
      <text>
        <r>
          <rPr>
            <b/>
            <sz val="9"/>
            <color indexed="81"/>
            <rFont val="ＭＳ Ｐゴシック"/>
            <family val="3"/>
            <charset val="128"/>
          </rPr>
          <t>決算統計94表01行16列
内訳はクロス担当より健康診査事業費と諸支出金</t>
        </r>
      </text>
    </comment>
    <comment ref="O114" authorId="0">
      <text>
        <r>
          <rPr>
            <b/>
            <sz val="11"/>
            <color indexed="81"/>
            <rFont val="ＭＳ Ｐゴシック"/>
            <family val="3"/>
            <charset val="128"/>
          </rPr>
          <t>決算統計94表01行13列（広域連合納付金）</t>
        </r>
      </text>
    </comment>
    <comment ref="O115" authorId="0">
      <text>
        <r>
          <rPr>
            <b/>
            <sz val="11"/>
            <color indexed="81"/>
            <rFont val="ＭＳ Ｐゴシック"/>
            <family val="3"/>
            <charset val="128"/>
          </rPr>
          <t>決算統計94表01行13列（広域連合納付金）</t>
        </r>
      </text>
    </comment>
    <comment ref="O120" authorId="0">
      <text>
        <r>
          <rPr>
            <b/>
            <sz val="9"/>
            <color indexed="81"/>
            <rFont val="ＭＳ Ｐゴシック"/>
            <family val="3"/>
            <charset val="128"/>
          </rPr>
          <t>保険料として　2,646,395千円
決算統計94表1行1列　2,640,378千円
＋収入未済額（現年分）　15,702千円
＋収入未済額（過年度分）　9,473千円
＋不能欠損　6,094千円
▲前期未収金　25,252千円</t>
        </r>
      </text>
    </comment>
    <comment ref="O121" authorId="0">
      <text>
        <r>
          <rPr>
            <b/>
            <sz val="9"/>
            <color indexed="81"/>
            <rFont val="ＭＳ Ｐゴシック"/>
            <family val="3"/>
            <charset val="128"/>
          </rPr>
          <t>その他　638,164千円
決算統計94表1行3列　他会計繰入金　499,727千円
決算統計94表1行7列　その他収入　138,437千円</t>
        </r>
      </text>
    </comment>
    <comment ref="O131" authorId="0">
      <text>
        <r>
          <rPr>
            <b/>
            <sz val="9"/>
            <color indexed="81"/>
            <rFont val="ＭＳ Ｐゴシック"/>
            <family val="3"/>
            <charset val="128"/>
          </rPr>
          <t>－前年度回収不能見込＋現年度不能欠損額
不能欠損額が引当額より少なければ利益計上</t>
        </r>
      </text>
    </comment>
    <comment ref="O145" authorId="0">
      <text>
        <r>
          <rPr>
            <b/>
            <sz val="9"/>
            <color indexed="81"/>
            <rFont val="ＭＳ Ｐゴシック"/>
            <family val="3"/>
            <charset val="128"/>
          </rPr>
          <t>保険料として　2,646,395千円
決算統計94表1行1列　2,640,378千円
＋収入未済額（現年分）　15,702千円
＋収入未済額（過年度分）　9,473千円
＋不能欠損　6,094千円
▲前期未収金　25,252千円</t>
        </r>
      </text>
    </comment>
    <comment ref="O169" authorId="0">
      <text>
        <r>
          <rPr>
            <b/>
            <sz val="9"/>
            <color indexed="81"/>
            <rFont val="ＭＳ Ｐゴシック"/>
            <family val="3"/>
            <charset val="128"/>
          </rPr>
          <t>決算統計94表01行11列</t>
        </r>
      </text>
    </comment>
    <comment ref="O170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総支出額から人件費、補助金等、その他支出を減額したもの
</t>
        </r>
      </text>
    </comment>
    <comment ref="O174" authorId="0">
      <text>
        <r>
          <rPr>
            <b/>
            <sz val="9"/>
            <color indexed="81"/>
            <rFont val="ＭＳ Ｐゴシック"/>
            <family val="3"/>
            <charset val="128"/>
          </rPr>
          <t>決算統計94表01行13列</t>
        </r>
      </text>
    </comment>
    <comment ref="O177" authorId="0">
      <text>
        <r>
          <rPr>
            <b/>
            <sz val="9"/>
            <color indexed="81"/>
            <rFont val="ＭＳ Ｐゴシック"/>
            <family val="3"/>
            <charset val="128"/>
          </rPr>
          <t>決算統計94表01行16列
内訳はクロス担当より健康診査事業費と諸支出金</t>
        </r>
      </text>
    </comment>
    <comment ref="O179" authorId="0">
      <text>
        <r>
          <rPr>
            <b/>
            <sz val="9"/>
            <color indexed="81"/>
            <rFont val="ＭＳ Ｐゴシック"/>
            <family val="3"/>
            <charset val="128"/>
          </rPr>
          <t>決算統計94表01行1列</t>
        </r>
      </text>
    </comment>
    <comment ref="O182" authorId="0">
      <text>
        <r>
          <rPr>
            <b/>
            <sz val="11"/>
            <color indexed="81"/>
            <rFont val="ＭＳ Ｐゴシック"/>
            <family val="3"/>
            <charset val="128"/>
          </rPr>
          <t>決算統計94表01行7列
＋
決算統計94表01行3列
（事務費繰入金、保険基盤安定繰入金
　健康診査事業費、年金特徴国保連手数料）</t>
        </r>
      </text>
    </comment>
    <comment ref="J188" authorId="0">
      <text>
        <r>
          <rPr>
            <b/>
            <sz val="9"/>
            <color indexed="81"/>
            <rFont val="ＭＳ Ｐゴシック"/>
            <family val="3"/>
            <charset val="128"/>
          </rPr>
          <t>下水へ</t>
        </r>
      </text>
    </comment>
    <comment ref="T188" authorId="0">
      <text>
        <r>
          <rPr>
            <b/>
            <sz val="9"/>
            <color indexed="81"/>
            <rFont val="ＭＳ Ｐゴシック"/>
            <family val="3"/>
            <charset val="128"/>
          </rPr>
          <t>下水へ</t>
        </r>
      </text>
    </comment>
    <comment ref="J191" authorId="0">
      <text>
        <r>
          <rPr>
            <b/>
            <sz val="9"/>
            <color indexed="81"/>
            <rFont val="ＭＳ Ｐゴシック"/>
            <family val="3"/>
            <charset val="128"/>
          </rPr>
          <t>下水へ</t>
        </r>
      </text>
    </comment>
    <comment ref="T191" authorId="0">
      <text>
        <r>
          <rPr>
            <b/>
            <sz val="9"/>
            <color indexed="81"/>
            <rFont val="ＭＳ Ｐゴシック"/>
            <family val="3"/>
            <charset val="128"/>
          </rPr>
          <t>下水へ</t>
        </r>
      </text>
    </comment>
  </commentList>
</comments>
</file>

<file path=xl/sharedStrings.xml><?xml version="1.0" encoding="utf-8"?>
<sst xmlns="http://schemas.openxmlformats.org/spreadsheetml/2006/main" count="325" uniqueCount="195">
  <si>
    <t>科目</t>
    <rPh sb="0" eb="2">
      <t>カモク</t>
    </rPh>
    <phoneticPr fontId="3"/>
  </si>
  <si>
    <t>固定資産</t>
    <rPh sb="0" eb="4">
      <t>コテイシサン</t>
    </rPh>
    <phoneticPr fontId="3"/>
  </si>
  <si>
    <t>その他</t>
    <rPh sb="2" eb="3">
      <t>タ</t>
    </rPh>
    <phoneticPr fontId="3"/>
  </si>
  <si>
    <t>ソフトウェア</t>
  </si>
  <si>
    <t>減債基金</t>
    <rPh sb="0" eb="2">
      <t>ゲンサイ</t>
    </rPh>
    <rPh sb="2" eb="4">
      <t>キキン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</si>
  <si>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</si>
  <si>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純資産合計</t>
    <rPh sb="0" eb="3">
      <t>ジュンシサン</t>
    </rPh>
    <rPh sb="3" eb="5">
      <t>ゴウケイ</t>
    </rPh>
    <phoneticPr fontId="3"/>
  </si>
  <si>
    <t>資産合計</t>
    <rPh sb="0" eb="2">
      <t>シサン</t>
    </rPh>
    <rPh sb="2" eb="4">
      <t>ゴウケイ</t>
    </rPh>
    <phoneticPr fontId="3"/>
  </si>
  <si>
    <t>人件費</t>
    <rPh sb="0" eb="3">
      <t>ジンケンヒ</t>
    </rPh>
    <phoneticPr fontId="3"/>
  </si>
  <si>
    <t>物件費</t>
    <rPh sb="0" eb="3">
      <t>ブッケンヒ</t>
    </rPh>
    <phoneticPr fontId="3"/>
  </si>
  <si>
    <t>維持補修費</t>
    <rPh sb="0" eb="2">
      <t>イジ</t>
    </rPh>
    <rPh sb="2" eb="5">
      <t>ホシュウヒ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</si>
  <si>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</si>
  <si>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支払利息</t>
    <rPh sb="0" eb="2">
      <t>シハライ</t>
    </rPh>
    <rPh sb="2" eb="4">
      <t>リソク</t>
    </rPh>
    <phoneticPr fontId="3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</si>
  <si>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3"/>
  </si>
  <si>
    <t>移転費用</t>
    <rPh sb="0" eb="2">
      <t>イテン</t>
    </rPh>
    <rPh sb="2" eb="4">
      <t>ヒヨウ</t>
    </rPh>
    <phoneticPr fontId="3"/>
  </si>
  <si>
    <t>社会保障給付</t>
    <rPh sb="0" eb="2">
      <t>シャカイ</t>
    </rPh>
    <rPh sb="2" eb="4">
      <t>ホショウ</t>
    </rPh>
    <rPh sb="4" eb="6">
      <t>キュウフ</t>
    </rPh>
    <phoneticPr fontId="3"/>
  </si>
  <si>
    <t>経常収益</t>
    <rPh sb="0" eb="2">
      <t>ケイジョウ</t>
    </rPh>
    <rPh sb="2" eb="4">
      <t>シュウエキ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</si>
  <si>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</si>
  <si>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臨時損失</t>
    <rPh sb="0" eb="2">
      <t>リンジ</t>
    </rPh>
    <rPh sb="2" eb="4">
      <t>ソンシツ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</si>
  <si>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</si>
  <si>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臨時利益</t>
    <rPh sb="0" eb="2">
      <t>リンジ</t>
    </rPh>
    <rPh sb="2" eb="4">
      <t>リエキ</t>
    </rPh>
    <phoneticPr fontId="3"/>
  </si>
  <si>
    <t>資産売却益</t>
    <rPh sb="0" eb="2">
      <t>シサン</t>
    </rPh>
    <rPh sb="2" eb="5">
      <t>バイキャクエキ</t>
    </rPh>
    <phoneticPr fontId="3"/>
  </si>
  <si>
    <t>純行政コスト</t>
    <rPh sb="0" eb="1">
      <t>ジュン</t>
    </rPh>
    <rPh sb="1" eb="3">
      <t>ギョウセイ</t>
    </rPh>
    <phoneticPr fontId="3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</si>
  <si>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3"/>
  </si>
  <si>
    <t>純行政コスト（△）</t>
    <rPh sb="0" eb="1">
      <t>ジュン</t>
    </rPh>
    <rPh sb="1" eb="3">
      <t>ギョウセイ</t>
    </rPh>
    <phoneticPr fontId="3"/>
  </si>
  <si>
    <t>財源</t>
    <rPh sb="0" eb="2">
      <t>ザイゲン</t>
    </rPh>
    <phoneticPr fontId="3"/>
  </si>
  <si>
    <t>本年度差額</t>
    <rPh sb="0" eb="3">
      <t>ホンネンド</t>
    </rPh>
    <rPh sb="3" eb="5">
      <t>サガク</t>
    </rPh>
    <phoneticPr fontId="3"/>
  </si>
  <si>
    <t>資産評価差額</t>
    <rPh sb="0" eb="2">
      <t>シサン</t>
    </rPh>
    <rPh sb="2" eb="4">
      <t>ヒョウカ</t>
    </rPh>
    <rPh sb="4" eb="6">
      <t>サガク</t>
    </rPh>
    <phoneticPr fontId="3"/>
  </si>
  <si>
    <t>経常費用</t>
    <rPh sb="0" eb="2">
      <t>ケイジョウ</t>
    </rPh>
    <rPh sb="2" eb="4">
      <t>ヒヨウ</t>
    </rPh>
    <phoneticPr fontId="3"/>
  </si>
  <si>
    <t>業務費用</t>
    <rPh sb="0" eb="2">
      <t>ギョウム</t>
    </rPh>
    <rPh sb="2" eb="4">
      <t>ヒヨウ</t>
    </rPh>
    <phoneticPr fontId="3"/>
  </si>
  <si>
    <t>その他の業務費用</t>
    <rPh sb="2" eb="3">
      <t>タ</t>
    </rPh>
    <rPh sb="4" eb="6">
      <t>ギョウム</t>
    </rPh>
    <rPh sb="6" eb="8">
      <t>ヒヨウ</t>
    </rPh>
    <phoneticPr fontId="3"/>
  </si>
  <si>
    <t>業務支出</t>
    <rPh sb="0" eb="2">
      <t>ギョウム</t>
    </rPh>
    <rPh sb="2" eb="4">
      <t>シシュツ</t>
    </rPh>
    <phoneticPr fontId="3"/>
  </si>
  <si>
    <t>業務費用支出</t>
    <rPh sb="0" eb="2">
      <t>ギョウム</t>
    </rPh>
    <rPh sb="2" eb="4">
      <t>ヒヨウ</t>
    </rPh>
    <rPh sb="4" eb="6">
      <t>シシュツ</t>
    </rPh>
    <phoneticPr fontId="3"/>
  </si>
  <si>
    <t>人件費支出</t>
    <rPh sb="0" eb="3">
      <t>ジンケンヒ</t>
    </rPh>
    <rPh sb="3" eb="5">
      <t>シシュツ</t>
    </rPh>
    <phoneticPr fontId="3"/>
  </si>
  <si>
    <t>支払利息支出</t>
    <rPh sb="0" eb="2">
      <t>シハラ</t>
    </rPh>
    <rPh sb="2" eb="4">
      <t>リソク</t>
    </rPh>
    <rPh sb="4" eb="6">
      <t>シシュツ</t>
    </rPh>
    <phoneticPr fontId="3"/>
  </si>
  <si>
    <t>移転費用支出</t>
    <rPh sb="0" eb="2">
      <t>イテン</t>
    </rPh>
    <rPh sb="2" eb="4">
      <t>ヒヨウ</t>
    </rPh>
    <rPh sb="4" eb="6">
      <t>シシュツ</t>
    </rPh>
    <phoneticPr fontId="3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</si>
  <si>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3"/>
  </si>
  <si>
    <t>業務収入</t>
    <rPh sb="0" eb="2">
      <t>ギョウム</t>
    </rPh>
    <rPh sb="2" eb="4">
      <t>シュウニュウ</t>
    </rPh>
    <phoneticPr fontId="3"/>
  </si>
  <si>
    <t>臨時支出</t>
    <rPh sb="0" eb="2">
      <t>リンジ</t>
    </rPh>
    <rPh sb="2" eb="4">
      <t>シシュツ</t>
    </rPh>
    <phoneticPr fontId="3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</si>
  <si>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3"/>
  </si>
  <si>
    <t>臨時収入</t>
    <rPh sb="0" eb="2">
      <t>リンジ</t>
    </rPh>
    <rPh sb="2" eb="4">
      <t>シュウニュウ</t>
    </rPh>
    <phoneticPr fontId="3"/>
  </si>
  <si>
    <t>業務活動収支</t>
    <rPh sb="0" eb="2">
      <t>ギョウム</t>
    </rPh>
    <rPh sb="2" eb="4">
      <t>カツドウ</t>
    </rPh>
    <rPh sb="4" eb="6">
      <t>シュウシ</t>
    </rPh>
    <phoneticPr fontId="3"/>
  </si>
  <si>
    <t>投資活動支出</t>
    <rPh sb="0" eb="2">
      <t>トウシ</t>
    </rPh>
    <rPh sb="2" eb="4">
      <t>カツドウ</t>
    </rPh>
    <rPh sb="4" eb="6">
      <t>シシュツ</t>
    </rPh>
    <phoneticPr fontId="3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</si>
  <si>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3"/>
  </si>
  <si>
    <t>貸付金支出</t>
    <rPh sb="0" eb="3">
      <t>カシツケキン</t>
    </rPh>
    <rPh sb="3" eb="5">
      <t>シシュツ</t>
    </rPh>
    <phoneticPr fontId="3"/>
  </si>
  <si>
    <t>投資活動収入</t>
    <rPh sb="0" eb="2">
      <t>トウシ</t>
    </rPh>
    <rPh sb="2" eb="4">
      <t>カツドウ</t>
    </rPh>
    <rPh sb="4" eb="6">
      <t>シュウニュウ</t>
    </rPh>
    <phoneticPr fontId="3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</si>
  <si>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3"/>
  </si>
  <si>
    <t>資産売却収入</t>
    <rPh sb="0" eb="2">
      <t>シサン</t>
    </rPh>
    <rPh sb="2" eb="4">
      <t>バイキャク</t>
    </rPh>
    <rPh sb="4" eb="6">
      <t>シュウニュウ</t>
    </rPh>
    <phoneticPr fontId="3"/>
  </si>
  <si>
    <t>投資活動収支</t>
    <rPh sb="0" eb="2">
      <t>トウシ</t>
    </rPh>
    <rPh sb="2" eb="4">
      <t>カツドウ</t>
    </rPh>
    <rPh sb="4" eb="6">
      <t>シュウシ</t>
    </rPh>
    <phoneticPr fontId="3"/>
  </si>
  <si>
    <t>財務活動支出</t>
    <rPh sb="0" eb="2">
      <t>ザイム</t>
    </rPh>
    <rPh sb="2" eb="4">
      <t>カツドウ</t>
    </rPh>
    <rPh sb="4" eb="6">
      <t>シシュツ</t>
    </rPh>
    <phoneticPr fontId="3"/>
  </si>
  <si>
    <t>財務活動収入</t>
    <rPh sb="0" eb="2">
      <t>ザイム</t>
    </rPh>
    <rPh sb="2" eb="4">
      <t>カツドウ</t>
    </rPh>
    <rPh sb="4" eb="6">
      <t>シュウニュウ</t>
    </rPh>
    <phoneticPr fontId="3"/>
  </si>
  <si>
    <t>財務活動収支</t>
    <rPh sb="0" eb="2">
      <t>ザイム</t>
    </rPh>
    <rPh sb="2" eb="4">
      <t>カツドウ</t>
    </rPh>
    <rPh sb="4" eb="6">
      <t>シュウシ</t>
    </rPh>
    <phoneticPr fontId="3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</si>
  <si>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3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</si>
  <si>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3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</si>
  <si>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3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</si>
  <si>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</si>
  <si>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</si>
  <si>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3"/>
  </si>
  <si>
    <t>小計</t>
    <rPh sb="0" eb="2">
      <t>ショウケイ</t>
    </rPh>
    <phoneticPr fontId="3"/>
  </si>
  <si>
    <t>　</t>
    <phoneticPr fontId="3"/>
  </si>
  <si>
    <t>地方債等</t>
    <rPh sb="0" eb="3">
      <t>チホウサイ</t>
    </rPh>
    <rPh sb="3" eb="4">
      <t>トウ</t>
    </rPh>
    <phoneticPr fontId="3"/>
  </si>
  <si>
    <t>地方債等償還支出</t>
    <rPh sb="0" eb="3">
      <t>チホウサイ</t>
    </rPh>
    <rPh sb="3" eb="4">
      <t>トウ</t>
    </rPh>
    <rPh sb="4" eb="6">
      <t>ショウカン</t>
    </rPh>
    <rPh sb="6" eb="8">
      <t>シシュツ</t>
    </rPh>
    <phoneticPr fontId="3"/>
  </si>
  <si>
    <t>地方債等発行収入</t>
    <rPh sb="0" eb="3">
      <t>チホウサイ</t>
    </rPh>
    <rPh sb="3" eb="4">
      <t>トウ</t>
    </rPh>
    <rPh sb="4" eb="6">
      <t>ハッコウ</t>
    </rPh>
    <rPh sb="6" eb="8">
      <t>シュウニュウ</t>
    </rPh>
    <phoneticPr fontId="3"/>
  </si>
  <si>
    <t>一般会計等財務書類</t>
    <rPh sb="0" eb="2">
      <t>イッパン</t>
    </rPh>
    <rPh sb="2" eb="4">
      <t>カイケイ</t>
    </rPh>
    <rPh sb="4" eb="5">
      <t>トウ</t>
    </rPh>
    <rPh sb="5" eb="7">
      <t>ザイム</t>
    </rPh>
    <rPh sb="7" eb="9">
      <t>ショルイ</t>
    </rPh>
    <phoneticPr fontId="3"/>
  </si>
  <si>
    <t>全体財務書類</t>
    <rPh sb="0" eb="2">
      <t>ゼンタイ</t>
    </rPh>
    <rPh sb="2" eb="4">
      <t>ザイム</t>
    </rPh>
    <rPh sb="4" eb="6">
      <t>ショルイ</t>
    </rPh>
    <phoneticPr fontId="3"/>
  </si>
  <si>
    <t>連結財務書類</t>
    <rPh sb="0" eb="2">
      <t>レンケツ</t>
    </rPh>
    <rPh sb="2" eb="4">
      <t>ザイム</t>
    </rPh>
    <rPh sb="4" eb="6">
      <t>ショルイ</t>
    </rPh>
    <phoneticPr fontId="3"/>
  </si>
  <si>
    <t>○○
特別会計</t>
    <rPh sb="3" eb="5">
      <t>トクベツ</t>
    </rPh>
    <rPh sb="5" eb="7">
      <t>カイケイ</t>
    </rPh>
    <phoneticPr fontId="3"/>
  </si>
  <si>
    <t>総計
（単純合算）</t>
    <rPh sb="0" eb="2">
      <t>ソウケイ</t>
    </rPh>
    <rPh sb="4" eb="6">
      <t>タンジュン</t>
    </rPh>
    <rPh sb="6" eb="8">
      <t>ガッサン</t>
    </rPh>
    <phoneticPr fontId="3"/>
  </si>
  <si>
    <t>純計</t>
    <rPh sb="0" eb="1">
      <t>ジュン</t>
    </rPh>
    <rPh sb="1" eb="2">
      <t>ケイ</t>
    </rPh>
    <phoneticPr fontId="3"/>
  </si>
  <si>
    <t>地方三公社</t>
    <rPh sb="0" eb="2">
      <t>チホウ</t>
    </rPh>
    <rPh sb="2" eb="3">
      <t>サン</t>
    </rPh>
    <rPh sb="3" eb="5">
      <t>コウシャ</t>
    </rPh>
    <phoneticPr fontId="3"/>
  </si>
  <si>
    <t>第三セクター等</t>
    <rPh sb="0" eb="2">
      <t>ダイサン</t>
    </rPh>
    <rPh sb="6" eb="7">
      <t>ナド</t>
    </rPh>
    <phoneticPr fontId="3"/>
  </si>
  <si>
    <t>公営企業会計</t>
    <rPh sb="0" eb="2">
      <t>コウエイ</t>
    </rPh>
    <rPh sb="2" eb="4">
      <t>キギョウ</t>
    </rPh>
    <rPh sb="4" eb="6">
      <t>カイケイ</t>
    </rPh>
    <phoneticPr fontId="3"/>
  </si>
  <si>
    <t>徴収不能引当金</t>
    <phoneticPr fontId="3"/>
  </si>
  <si>
    <t>流動資産</t>
    <rPh sb="0" eb="2">
      <t>リュウドウ</t>
    </rPh>
    <rPh sb="2" eb="4">
      <t>シサン</t>
    </rPh>
    <phoneticPr fontId="1"/>
  </si>
  <si>
    <t>現金預金</t>
    <rPh sb="0" eb="2">
      <t>ゲンキン</t>
    </rPh>
    <rPh sb="2" eb="4">
      <t>ヨキン</t>
    </rPh>
    <phoneticPr fontId="1"/>
  </si>
  <si>
    <t>未収金</t>
    <rPh sb="0" eb="3">
      <t>ミシュウキン</t>
    </rPh>
    <phoneticPr fontId="1"/>
  </si>
  <si>
    <t>短期貸付金</t>
    <rPh sb="0" eb="2">
      <t>タンキ</t>
    </rPh>
    <rPh sb="2" eb="4">
      <t>カシツケ</t>
    </rPh>
    <rPh sb="4" eb="5">
      <t>キン</t>
    </rPh>
    <phoneticPr fontId="1"/>
  </si>
  <si>
    <t>基金</t>
    <rPh sb="0" eb="2">
      <t>キキン</t>
    </rPh>
    <phoneticPr fontId="1"/>
  </si>
  <si>
    <t>棚卸資産</t>
    <rPh sb="0" eb="2">
      <t>タナオロシ</t>
    </rPh>
    <rPh sb="2" eb="4">
      <t>シサン</t>
    </rPh>
    <phoneticPr fontId="1"/>
  </si>
  <si>
    <t>その他</t>
    <rPh sb="2" eb="3">
      <t>タ</t>
    </rPh>
    <phoneticPr fontId="1"/>
  </si>
  <si>
    <t>繰延資産</t>
    <rPh sb="0" eb="2">
      <t>クリノベ</t>
    </rPh>
    <rPh sb="2" eb="4">
      <t>シサン</t>
    </rPh>
    <phoneticPr fontId="3"/>
  </si>
  <si>
    <t>負債・純資産合計</t>
  </si>
  <si>
    <t>負債合計</t>
  </si>
  <si>
    <t>固定負債</t>
    <rPh sb="0" eb="2">
      <t>コテイ</t>
    </rPh>
    <rPh sb="2" eb="4">
      <t>フサイ</t>
    </rPh>
    <phoneticPr fontId="1"/>
  </si>
  <si>
    <t>長期未払金</t>
    <rPh sb="0" eb="2">
      <t>チョウキ</t>
    </rPh>
    <rPh sb="2" eb="4">
      <t>ミバラ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</si>
  <si>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7">
      <t>ヒキアテキン</t>
    </rPh>
    <phoneticPr fontId="3"/>
  </si>
  <si>
    <t>損失補償等引当金</t>
    <rPh sb="0" eb="2">
      <t>ソンシツ</t>
    </rPh>
    <rPh sb="2" eb="4">
      <t>ホショウ</t>
    </rPh>
    <rPh sb="4" eb="5">
      <t>トウ</t>
    </rPh>
    <rPh sb="5" eb="8">
      <t>ヒキアテキン</t>
    </rPh>
    <phoneticPr fontId="3"/>
  </si>
  <si>
    <t>流動負債</t>
    <rPh sb="0" eb="2">
      <t>リュウドウ</t>
    </rPh>
    <rPh sb="2" eb="4">
      <t>フサイ</t>
    </rPh>
    <phoneticPr fontId="1"/>
  </si>
  <si>
    <t>１年内償還予定地方債等</t>
    <rPh sb="1" eb="2">
      <t>ネン</t>
    </rPh>
    <rPh sb="2" eb="3">
      <t>ナイ</t>
    </rPh>
    <rPh sb="3" eb="5">
      <t>ショウカン</t>
    </rPh>
    <rPh sb="5" eb="7">
      <t>ヨテイ</t>
    </rPh>
    <rPh sb="7" eb="10">
      <t>チホウサイ</t>
    </rPh>
    <rPh sb="10" eb="11">
      <t>トウ</t>
    </rPh>
    <phoneticPr fontId="3"/>
  </si>
  <si>
    <t>未払金</t>
    <rPh sb="0" eb="3">
      <t>ミバライキン</t>
    </rPh>
    <phoneticPr fontId="3"/>
  </si>
  <si>
    <t>未払費用</t>
    <rPh sb="0" eb="2">
      <t>ミバライ</t>
    </rPh>
    <rPh sb="2" eb="4">
      <t>ヒヨウ</t>
    </rPh>
    <phoneticPr fontId="3"/>
  </si>
  <si>
    <t>前受金</t>
    <rPh sb="0" eb="3">
      <t>マエウケキン</t>
    </rPh>
    <phoneticPr fontId="3"/>
  </si>
  <si>
    <t>前受収益</t>
    <rPh sb="0" eb="2">
      <t>マエウ</t>
    </rPh>
    <rPh sb="2" eb="4">
      <t>シュウエキ</t>
    </rPh>
    <phoneticPr fontId="3"/>
  </si>
  <si>
    <t>賞与等引当金</t>
    <rPh sb="0" eb="2">
      <t>ショウヨ</t>
    </rPh>
    <rPh sb="2" eb="3">
      <t>トウ</t>
    </rPh>
    <rPh sb="3" eb="6">
      <t>ヒキアテキン</t>
    </rPh>
    <phoneticPr fontId="3"/>
  </si>
  <si>
    <t>預り金</t>
    <rPh sb="0" eb="1">
      <t>アズカ</t>
    </rPh>
    <rPh sb="2" eb="3">
      <t>キン</t>
    </rPh>
    <phoneticPr fontId="3"/>
  </si>
  <si>
    <t>固定資産等形成分</t>
    <rPh sb="0" eb="4">
      <t>コテイシサン</t>
    </rPh>
    <rPh sb="4" eb="5">
      <t>トウ</t>
    </rPh>
    <rPh sb="5" eb="7">
      <t>ケイセイ</t>
    </rPh>
    <rPh sb="7" eb="8">
      <t>ブン</t>
    </rPh>
    <phoneticPr fontId="3"/>
  </si>
  <si>
    <t>余剰分（不足分）</t>
    <phoneticPr fontId="3"/>
  </si>
  <si>
    <t>職員給与費</t>
    <rPh sb="0" eb="2">
      <t>ショクイン</t>
    </rPh>
    <rPh sb="2" eb="4">
      <t>キュウヨ</t>
    </rPh>
    <rPh sb="4" eb="5">
      <t>ヒ</t>
    </rPh>
    <phoneticPr fontId="3"/>
  </si>
  <si>
    <t>賞与等引当金繰入額</t>
    <rPh sb="0" eb="2">
      <t>ショウヨ</t>
    </rPh>
    <rPh sb="2" eb="3">
      <t>トウ</t>
    </rPh>
    <rPh sb="3" eb="6">
      <t>ヒキアテキン</t>
    </rPh>
    <rPh sb="6" eb="9">
      <t>クリイレガク</t>
    </rPh>
    <phoneticPr fontId="3"/>
  </si>
  <si>
    <t>退職手当引当金繰入額</t>
    <rPh sb="0" eb="2">
      <t>タイショク</t>
    </rPh>
    <rPh sb="2" eb="4">
      <t>テアテ</t>
    </rPh>
    <rPh sb="4" eb="7">
      <t>ヒキアテキン</t>
    </rPh>
    <rPh sb="7" eb="10">
      <t>クリイレガク</t>
    </rPh>
    <phoneticPr fontId="3"/>
  </si>
  <si>
    <t>物件費等</t>
    <rPh sb="0" eb="3">
      <t>ブッケンヒ</t>
    </rPh>
    <rPh sb="3" eb="4">
      <t>トウ</t>
    </rPh>
    <phoneticPr fontId="3"/>
  </si>
  <si>
    <t>補助金等</t>
    <rPh sb="0" eb="3">
      <t>ホジョキン</t>
    </rPh>
    <rPh sb="3" eb="4">
      <t>トウ</t>
    </rPh>
    <phoneticPr fontId="3"/>
  </si>
  <si>
    <t>他会計への繰出金</t>
    <rPh sb="0" eb="1">
      <t>タ</t>
    </rPh>
    <rPh sb="1" eb="3">
      <t>カイケイ</t>
    </rPh>
    <rPh sb="5" eb="7">
      <t>クリダ</t>
    </rPh>
    <rPh sb="7" eb="8">
      <t>キン</t>
    </rPh>
    <phoneticPr fontId="3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</si>
  <si>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3"/>
  </si>
  <si>
    <t>資産除売却損</t>
    <rPh sb="0" eb="2">
      <t>シサン</t>
    </rPh>
    <rPh sb="2" eb="3">
      <t>ジョ</t>
    </rPh>
    <rPh sb="3" eb="6">
      <t>バイキャクゾン</t>
    </rPh>
    <phoneticPr fontId="3"/>
  </si>
  <si>
    <t>投資損失引当金繰入額</t>
    <rPh sb="0" eb="2">
      <t>トウシ</t>
    </rPh>
    <rPh sb="2" eb="4">
      <t>ソンシツ</t>
    </rPh>
    <rPh sb="4" eb="7">
      <t>ヒキアテキン</t>
    </rPh>
    <rPh sb="7" eb="10">
      <t>クリイレガク</t>
    </rPh>
    <phoneticPr fontId="3"/>
  </si>
  <si>
    <t>損失補償等引当金繰入額</t>
    <rPh sb="0" eb="2">
      <t>ソンシツ</t>
    </rPh>
    <rPh sb="2" eb="4">
      <t>ホショウ</t>
    </rPh>
    <rPh sb="4" eb="5">
      <t>トウ</t>
    </rPh>
    <rPh sb="5" eb="8">
      <t>ヒキアテキン</t>
    </rPh>
    <rPh sb="8" eb="11">
      <t>クリイレガク</t>
    </rPh>
    <phoneticPr fontId="3"/>
  </si>
  <si>
    <t>税収等</t>
    <rPh sb="0" eb="2">
      <t>ゼイシュウ</t>
    </rPh>
    <rPh sb="2" eb="3">
      <t>トウ</t>
    </rPh>
    <phoneticPr fontId="3"/>
  </si>
  <si>
    <t>国県等補助金</t>
    <rPh sb="0" eb="1">
      <t>クニ</t>
    </rPh>
    <rPh sb="1" eb="2">
      <t>ケン</t>
    </rPh>
    <rPh sb="2" eb="3">
      <t>トウ</t>
    </rPh>
    <rPh sb="3" eb="6">
      <t>ホジョキン</t>
    </rPh>
    <phoneticPr fontId="3"/>
  </si>
  <si>
    <t>固定資産の変動（内部変動）</t>
    <rPh sb="0" eb="4">
      <t>コテイシサン</t>
    </rPh>
    <rPh sb="5" eb="7">
      <t>ヘンドウ</t>
    </rPh>
    <rPh sb="8" eb="10">
      <t>ナイブ</t>
    </rPh>
    <rPh sb="10" eb="12">
      <t>ヘンドウ</t>
    </rPh>
    <phoneticPr fontId="3"/>
  </si>
  <si>
    <t>有形固定資産等の増加</t>
    <rPh sb="0" eb="2">
      <t>ユウケイ</t>
    </rPh>
    <rPh sb="2" eb="6">
      <t>コテイシサン</t>
    </rPh>
    <rPh sb="6" eb="7">
      <t>トウ</t>
    </rPh>
    <rPh sb="8" eb="10">
      <t>ゾウカ</t>
    </rPh>
    <phoneticPr fontId="3"/>
  </si>
  <si>
    <t>有形固定資産等の減少</t>
    <rPh sb="0" eb="2">
      <t>ユウケイ</t>
    </rPh>
    <rPh sb="2" eb="6">
      <t>コテイシサン</t>
    </rPh>
    <rPh sb="6" eb="7">
      <t>トウ</t>
    </rPh>
    <rPh sb="8" eb="10">
      <t>ゲンショウ</t>
    </rPh>
    <phoneticPr fontId="3"/>
  </si>
  <si>
    <t>貸付金・基金等の増加</t>
    <rPh sb="0" eb="3">
      <t>カシツケキン</t>
    </rPh>
    <rPh sb="4" eb="6">
      <t>キキン</t>
    </rPh>
    <rPh sb="6" eb="7">
      <t>トウ</t>
    </rPh>
    <rPh sb="8" eb="10">
      <t>ゾウカ</t>
    </rPh>
    <phoneticPr fontId="3"/>
  </si>
  <si>
    <t>貸付金・基金等の減少</t>
    <rPh sb="0" eb="3">
      <t>カシツケキン</t>
    </rPh>
    <rPh sb="4" eb="6">
      <t>キキン</t>
    </rPh>
    <rPh sb="6" eb="7">
      <t>トウ</t>
    </rPh>
    <rPh sb="8" eb="10">
      <t>ゲンショウ</t>
    </rPh>
    <phoneticPr fontId="3"/>
  </si>
  <si>
    <t>無償所管換等</t>
    <rPh sb="0" eb="2">
      <t>ムショウ</t>
    </rPh>
    <rPh sb="2" eb="4">
      <t>ショカン</t>
    </rPh>
    <rPh sb="4" eb="5">
      <t>カン</t>
    </rPh>
    <rPh sb="5" eb="6">
      <t>トウ</t>
    </rPh>
    <phoneticPr fontId="3"/>
  </si>
  <si>
    <t>本年度純資産変動額</t>
    <rPh sb="0" eb="3">
      <t>ホンネンド</t>
    </rPh>
    <rPh sb="3" eb="4">
      <t>ジュン</t>
    </rPh>
    <rPh sb="4" eb="6">
      <t>シサン</t>
    </rPh>
    <rPh sb="6" eb="8">
      <t>ヘンドウ</t>
    </rPh>
    <rPh sb="8" eb="9">
      <t>ガク</t>
    </rPh>
    <phoneticPr fontId="3"/>
  </si>
  <si>
    <t>本年度末純資産残高</t>
    <rPh sb="0" eb="3">
      <t>ホンネンド</t>
    </rPh>
    <rPh sb="3" eb="4">
      <t>マツ</t>
    </rPh>
    <rPh sb="4" eb="5">
      <t>ジュン</t>
    </rPh>
    <rPh sb="5" eb="7">
      <t>シサン</t>
    </rPh>
    <rPh sb="7" eb="9">
      <t>ザンダカ</t>
    </rPh>
    <phoneticPr fontId="3"/>
  </si>
  <si>
    <t>その他の支出</t>
    <rPh sb="2" eb="3">
      <t>タ</t>
    </rPh>
    <rPh sb="4" eb="6">
      <t>シシュツ</t>
    </rPh>
    <phoneticPr fontId="3"/>
  </si>
  <si>
    <t>補助金等支出</t>
    <rPh sb="0" eb="3">
      <t>ホジョキン</t>
    </rPh>
    <rPh sb="3" eb="4">
      <t>トウ</t>
    </rPh>
    <rPh sb="4" eb="6">
      <t>シシュツ</t>
    </rPh>
    <phoneticPr fontId="3"/>
  </si>
  <si>
    <t>他会計への繰出支出</t>
    <rPh sb="0" eb="1">
      <t>タ</t>
    </rPh>
    <rPh sb="1" eb="3">
      <t>カイケイ</t>
    </rPh>
    <rPh sb="5" eb="7">
      <t>クリダ</t>
    </rPh>
    <rPh sb="7" eb="9">
      <t>シシュツ</t>
    </rPh>
    <phoneticPr fontId="3"/>
  </si>
  <si>
    <t>税収等収入</t>
    <rPh sb="0" eb="2">
      <t>ゼイシュウ</t>
    </rPh>
    <rPh sb="2" eb="3">
      <t>トウ</t>
    </rPh>
    <rPh sb="3" eb="5">
      <t>シュウニュウ</t>
    </rPh>
    <phoneticPr fontId="3"/>
  </si>
  <si>
    <t>国県等補助金収入</t>
    <rPh sb="0" eb="1">
      <t>クニ</t>
    </rPh>
    <rPh sb="1" eb="2">
      <t>ケン</t>
    </rPh>
    <rPh sb="2" eb="3">
      <t>トウ</t>
    </rPh>
    <rPh sb="3" eb="6">
      <t>ホジョキン</t>
    </rPh>
    <rPh sb="6" eb="8">
      <t>シュウニュウ</t>
    </rPh>
    <phoneticPr fontId="3"/>
  </si>
  <si>
    <t>使用料及び手数料収入</t>
    <rPh sb="0" eb="2">
      <t>シヨウ</t>
    </rPh>
    <rPh sb="2" eb="3">
      <t>リョウ</t>
    </rPh>
    <rPh sb="3" eb="4">
      <t>オヨ</t>
    </rPh>
    <rPh sb="5" eb="8">
      <t>テスウリョウ</t>
    </rPh>
    <rPh sb="8" eb="10">
      <t>シュウニュウ</t>
    </rPh>
    <phoneticPr fontId="3"/>
  </si>
  <si>
    <t>その他の収入</t>
    <rPh sb="2" eb="3">
      <t>タ</t>
    </rPh>
    <rPh sb="4" eb="6">
      <t>シュウニュウ</t>
    </rPh>
    <phoneticPr fontId="3"/>
  </si>
  <si>
    <t>公共施設等整備費支出</t>
    <rPh sb="0" eb="2">
      <t>コウキョウ</t>
    </rPh>
    <rPh sb="2" eb="4">
      <t>シセツ</t>
    </rPh>
    <rPh sb="4" eb="5">
      <t>トウ</t>
    </rPh>
    <rPh sb="5" eb="8">
      <t>セイビヒ</t>
    </rPh>
    <rPh sb="8" eb="10">
      <t>シシュツ</t>
    </rPh>
    <phoneticPr fontId="3"/>
  </si>
  <si>
    <t>基金積立金支出</t>
    <rPh sb="0" eb="2">
      <t>キキン</t>
    </rPh>
    <rPh sb="2" eb="3">
      <t>ツ</t>
    </rPh>
    <rPh sb="3" eb="4">
      <t>タ</t>
    </rPh>
    <rPh sb="4" eb="5">
      <t>キン</t>
    </rPh>
    <rPh sb="5" eb="7">
      <t>シシュツ</t>
    </rPh>
    <phoneticPr fontId="3"/>
  </si>
  <si>
    <t>国県等補助金収入</t>
    <rPh sb="0" eb="1">
      <t>クニ</t>
    </rPh>
    <rPh sb="1" eb="2">
      <t>ケン</t>
    </rPh>
    <rPh sb="2" eb="3">
      <t>トウ</t>
    </rPh>
    <rPh sb="3" eb="5">
      <t>ホジョ</t>
    </rPh>
    <rPh sb="5" eb="6">
      <t>キン</t>
    </rPh>
    <rPh sb="6" eb="8">
      <t>シュウニュウ</t>
    </rPh>
    <phoneticPr fontId="3"/>
  </si>
  <si>
    <t>基金取崩収入</t>
    <rPh sb="0" eb="2">
      <t>キキン</t>
    </rPh>
    <rPh sb="2" eb="4">
      <t>トリクズ</t>
    </rPh>
    <rPh sb="4" eb="6">
      <t>シュウニュウ</t>
    </rPh>
    <phoneticPr fontId="3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</si>
  <si>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1">
      <t>ゾウゲンガク</t>
    </rPh>
    <phoneticPr fontId="3"/>
  </si>
  <si>
    <t>一般会計等</t>
    <rPh sb="0" eb="2">
      <t>イッパン</t>
    </rPh>
    <rPh sb="2" eb="4">
      <t>カイケイ</t>
    </rPh>
    <rPh sb="4" eb="5">
      <t>トウ</t>
    </rPh>
    <phoneticPr fontId="3"/>
  </si>
  <si>
    <t>総計
（単純
合算）</t>
    <rPh sb="0" eb="2">
      <t>ソウケイ</t>
    </rPh>
    <rPh sb="4" eb="6">
      <t>タンジュン</t>
    </rPh>
    <rPh sb="7" eb="9">
      <t>ガッサン</t>
    </rPh>
    <phoneticPr fontId="3"/>
  </si>
  <si>
    <t>相殺消去</t>
    <rPh sb="0" eb="2">
      <t>ソウサイ</t>
    </rPh>
    <rPh sb="2" eb="4">
      <t>ショウキョ</t>
    </rPh>
    <phoneticPr fontId="3"/>
  </si>
  <si>
    <t>連結修正
等</t>
    <phoneticPr fontId="3"/>
  </si>
  <si>
    <t>相殺消去</t>
    <phoneticPr fontId="3"/>
  </si>
  <si>
    <t>有形固定資産</t>
    <rPh sb="0" eb="2">
      <t>ユウケイ</t>
    </rPh>
    <rPh sb="2" eb="6">
      <t>コテイシサン</t>
    </rPh>
    <phoneticPr fontId="2"/>
  </si>
  <si>
    <t>事業用資産</t>
    <rPh sb="0" eb="3">
      <t>ジギョウヨウ</t>
    </rPh>
    <rPh sb="3" eb="5">
      <t>シサン</t>
    </rPh>
    <phoneticPr fontId="2"/>
  </si>
  <si>
    <t>土地</t>
    <rPh sb="0" eb="2">
      <t>トチ</t>
    </rPh>
    <phoneticPr fontId="2"/>
  </si>
  <si>
    <t>立木竹</t>
    <rPh sb="0" eb="2">
      <t>タチキ</t>
    </rPh>
    <rPh sb="2" eb="3">
      <t>タケ</t>
    </rPh>
    <phoneticPr fontId="2"/>
  </si>
  <si>
    <t>建物</t>
    <rPh sb="0" eb="2">
      <t>タテモノ</t>
    </rPh>
    <phoneticPr fontId="2"/>
  </si>
  <si>
    <t>建物減価償却累計額</t>
    <rPh sb="0" eb="2">
      <t>タテモノ</t>
    </rPh>
    <rPh sb="2" eb="4">
      <t>ゲンカ</t>
    </rPh>
    <rPh sb="4" eb="6">
      <t>ショウキャク</t>
    </rPh>
    <rPh sb="6" eb="9">
      <t>ルイケイガク</t>
    </rPh>
    <phoneticPr fontId="2"/>
  </si>
  <si>
    <t>工作物</t>
    <rPh sb="0" eb="3">
      <t>コウサクブツ</t>
    </rPh>
    <phoneticPr fontId="2"/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</si>
  <si>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2"/>
  </si>
  <si>
    <t>船舶</t>
    <rPh sb="0" eb="2">
      <t>センパク</t>
    </rPh>
    <phoneticPr fontId="2"/>
  </si>
  <si>
    <t>船舶減価償却累計額</t>
    <rPh sb="0" eb="2">
      <t>センパク</t>
    </rPh>
    <rPh sb="2" eb="4">
      <t>ゲンカ</t>
    </rPh>
    <rPh sb="4" eb="6">
      <t>ショウキャク</t>
    </rPh>
    <rPh sb="6" eb="9">
      <t>ルイケイガク</t>
    </rPh>
    <phoneticPr fontId="2"/>
  </si>
  <si>
    <t>浮標等</t>
    <rPh sb="0" eb="1">
      <t>ウ</t>
    </rPh>
    <rPh sb="1" eb="2">
      <t>シルベ</t>
    </rPh>
    <rPh sb="2" eb="3">
      <t>トウ</t>
    </rPh>
    <phoneticPr fontId="2"/>
  </si>
  <si>
    <t>浮標等減価償却累計額</t>
    <rPh sb="0" eb="1">
      <t>ウ</t>
    </rPh>
    <rPh sb="1" eb="2">
      <t>シルベ</t>
    </rPh>
    <rPh sb="2" eb="3">
      <t>トウ</t>
    </rPh>
    <rPh sb="3" eb="5">
      <t>ゲンカ</t>
    </rPh>
    <rPh sb="5" eb="7">
      <t>ショウキャク</t>
    </rPh>
    <rPh sb="7" eb="10">
      <t>ルイケイガク</t>
    </rPh>
    <phoneticPr fontId="2"/>
  </si>
  <si>
    <t>航空機</t>
    <rPh sb="0" eb="3">
      <t>コウクウキ</t>
    </rPh>
    <phoneticPr fontId="2"/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</si>
  <si>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2"/>
  </si>
  <si>
    <t>その他</t>
    <rPh sb="2" eb="3">
      <t>タ</t>
    </rPh>
    <phoneticPr fontId="2"/>
  </si>
  <si>
    <t>その他減価償却累計額</t>
    <rPh sb="2" eb="3">
      <t>タ</t>
    </rPh>
    <rPh sb="3" eb="5">
      <t>ゲンカ</t>
    </rPh>
    <rPh sb="5" eb="7">
      <t>ショウキャク</t>
    </rPh>
    <rPh sb="7" eb="10">
      <t>ルイケイガク</t>
    </rPh>
    <phoneticPr fontId="2"/>
  </si>
  <si>
    <t>建設仮勘定</t>
    <rPh sb="0" eb="2">
      <t>ケンセツ</t>
    </rPh>
    <rPh sb="2" eb="5">
      <t>カリカンジョウ</t>
    </rPh>
    <phoneticPr fontId="2"/>
  </si>
  <si>
    <t>インフラ資産</t>
  </si>
  <si>
    <t>建物仮勘定</t>
    <rPh sb="0" eb="2">
      <t>タテモノ</t>
    </rPh>
    <rPh sb="2" eb="5">
      <t>カリカンジョウ</t>
    </rPh>
    <phoneticPr fontId="2"/>
  </si>
  <si>
    <t>物品</t>
    <rPh sb="0" eb="2">
      <t>ブッピン</t>
    </rPh>
    <phoneticPr fontId="2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</si>
  <si>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2"/>
  </si>
  <si>
    <t>無形固定資産</t>
    <rPh sb="0" eb="2">
      <t>ムケイ</t>
    </rPh>
    <rPh sb="2" eb="6">
      <t>コテイシサン</t>
    </rPh>
    <phoneticPr fontId="2"/>
  </si>
  <si>
    <t>投資その他の資産</t>
    <rPh sb="0" eb="2">
      <t>トウシ</t>
    </rPh>
    <rPh sb="4" eb="5">
      <t>タ</t>
    </rPh>
    <rPh sb="6" eb="8">
      <t>シサン</t>
    </rPh>
    <phoneticPr fontId="2"/>
  </si>
  <si>
    <t>投資及び出資金</t>
    <rPh sb="0" eb="2">
      <t>トウシ</t>
    </rPh>
    <rPh sb="2" eb="3">
      <t>オヨ</t>
    </rPh>
    <rPh sb="4" eb="7">
      <t>シュッシキン</t>
    </rPh>
    <phoneticPr fontId="2"/>
  </si>
  <si>
    <t>有価証券</t>
    <rPh sb="0" eb="2">
      <t>ユウカ</t>
    </rPh>
    <rPh sb="2" eb="4">
      <t>ショウケン</t>
    </rPh>
    <phoneticPr fontId="2"/>
  </si>
  <si>
    <t>出資金</t>
    <rPh sb="0" eb="3">
      <t>シュッシキン</t>
    </rPh>
    <phoneticPr fontId="2"/>
  </si>
  <si>
    <t>投資損失引当金</t>
    <rPh sb="0" eb="2">
      <t>トウシ</t>
    </rPh>
    <rPh sb="2" eb="4">
      <t>ソンシツ</t>
    </rPh>
    <rPh sb="4" eb="7">
      <t>ヒキアテキン</t>
    </rPh>
    <phoneticPr fontId="2"/>
  </si>
  <si>
    <t>長期延滞債権</t>
    <rPh sb="0" eb="2">
      <t>チョウキ</t>
    </rPh>
    <rPh sb="2" eb="4">
      <t>エンタイ</t>
    </rPh>
    <rPh sb="4" eb="6">
      <t>サイケン</t>
    </rPh>
    <phoneticPr fontId="2"/>
  </si>
  <si>
    <t>長期貸付金</t>
    <rPh sb="0" eb="2">
      <t>チョウキ</t>
    </rPh>
    <rPh sb="2" eb="5">
      <t>カシツケキン</t>
    </rPh>
    <phoneticPr fontId="2"/>
  </si>
  <si>
    <t>基金</t>
    <rPh sb="0" eb="2">
      <t>キキン</t>
    </rPh>
    <phoneticPr fontId="2"/>
  </si>
  <si>
    <t>　</t>
  </si>
  <si>
    <t>減債基金</t>
    <rPh sb="0" eb="2">
      <t>ゲンサイ</t>
    </rPh>
    <rPh sb="2" eb="4">
      <t>キキン</t>
    </rPh>
    <phoneticPr fontId="2"/>
  </si>
  <si>
    <t>徴収不能引当金</t>
    <rPh sb="0" eb="2">
      <t>チョウシュウ</t>
    </rPh>
    <rPh sb="2" eb="4">
      <t>フノウ</t>
    </rPh>
    <rPh sb="4" eb="7">
      <t>ヒキアテキン</t>
    </rPh>
    <phoneticPr fontId="2"/>
  </si>
  <si>
    <t>物件費等支出</t>
    <rPh sb="0" eb="3">
      <t>ブッケンヒ</t>
    </rPh>
    <rPh sb="3" eb="4">
      <t>トウ</t>
    </rPh>
    <rPh sb="4" eb="6">
      <t>シシュツ</t>
    </rPh>
    <phoneticPr fontId="3"/>
  </si>
  <si>
    <t>他団体出資等分</t>
    <phoneticPr fontId="3"/>
  </si>
  <si>
    <t>他団体出資等分の増加</t>
    <rPh sb="8" eb="10">
      <t>ゾウカ</t>
    </rPh>
    <phoneticPr fontId="3"/>
  </si>
  <si>
    <t>他団体出資等分の減少</t>
    <rPh sb="8" eb="10">
      <t>ゲンショウ</t>
    </rPh>
    <phoneticPr fontId="3"/>
  </si>
  <si>
    <t>その他</t>
    <phoneticPr fontId="3"/>
  </si>
  <si>
    <t>地方公営事業会計</t>
    <rPh sb="0" eb="2">
      <t>チホウ</t>
    </rPh>
    <rPh sb="2" eb="4">
      <t>コウエイ</t>
    </rPh>
    <rPh sb="4" eb="6">
      <t>ジギョウ</t>
    </rPh>
    <rPh sb="6" eb="8">
      <t>カイケイ</t>
    </rPh>
    <phoneticPr fontId="3"/>
  </si>
  <si>
    <t>病院事業</t>
    <phoneticPr fontId="3"/>
  </si>
  <si>
    <t>病院事業</t>
    <phoneticPr fontId="3"/>
  </si>
  <si>
    <t>国民健康
保険事業</t>
    <rPh sb="0" eb="2">
      <t>コクミン</t>
    </rPh>
    <rPh sb="2" eb="4">
      <t>ケンコウ</t>
    </rPh>
    <rPh sb="5" eb="7">
      <t>ホケン</t>
    </rPh>
    <rPh sb="7" eb="9">
      <t>ジギョウ</t>
    </rPh>
    <phoneticPr fontId="3"/>
  </si>
  <si>
    <t>後期高齢者
医療事業</t>
    <rPh sb="0" eb="2">
      <t>コウキ</t>
    </rPh>
    <rPh sb="2" eb="5">
      <t>コウレイシャ</t>
    </rPh>
    <rPh sb="6" eb="8">
      <t>イリョウ</t>
    </rPh>
    <rPh sb="8" eb="10">
      <t>ジギョウ</t>
    </rPh>
    <phoneticPr fontId="3"/>
  </si>
  <si>
    <t>繰延収益</t>
    <rPh sb="0" eb="2">
      <t>クリノベ</t>
    </rPh>
    <rPh sb="2" eb="4">
      <t>シュウエキ</t>
    </rPh>
    <phoneticPr fontId="3"/>
  </si>
  <si>
    <t>長期前受金</t>
    <rPh sb="0" eb="2">
      <t>チョウキ</t>
    </rPh>
    <rPh sb="2" eb="4">
      <t>マエウ</t>
    </rPh>
    <rPh sb="4" eb="5">
      <t>キン</t>
    </rPh>
    <phoneticPr fontId="3"/>
  </si>
  <si>
    <t>収益化累計額</t>
    <rPh sb="0" eb="3">
      <t>シュウエキカ</t>
    </rPh>
    <rPh sb="3" eb="5">
      <t>ルイケイ</t>
    </rPh>
    <rPh sb="5" eb="6">
      <t>ガク</t>
    </rPh>
    <phoneticPr fontId="3"/>
  </si>
  <si>
    <t>介護サービス事業</t>
    <rPh sb="0" eb="2">
      <t>カイゴ</t>
    </rPh>
    <rPh sb="6" eb="8">
      <t>ジギョウ</t>
    </rPh>
    <phoneticPr fontId="3"/>
  </si>
  <si>
    <t>広域連合</t>
    <rPh sb="0" eb="2">
      <t>コウイキ</t>
    </rPh>
    <rPh sb="2" eb="4">
      <t>レンゴウ</t>
    </rPh>
    <phoneticPr fontId="3"/>
  </si>
  <si>
    <t>神奈川県
後期高齢者
医療広域連合</t>
    <rPh sb="0" eb="4">
      <t>カナガワケン</t>
    </rPh>
    <rPh sb="5" eb="7">
      <t>コウキ</t>
    </rPh>
    <rPh sb="7" eb="10">
      <t>コウレイシャ</t>
    </rPh>
    <rPh sb="11" eb="13">
      <t>イリョウ</t>
    </rPh>
    <rPh sb="13" eb="15">
      <t>コウイキ</t>
    </rPh>
    <rPh sb="15" eb="17">
      <t>レンゴウ</t>
    </rPh>
    <phoneticPr fontId="3"/>
  </si>
  <si>
    <t>茅ヶ崎市
土地開発公社</t>
    <rPh sb="0" eb="4">
      <t>チガサキシ</t>
    </rPh>
    <rPh sb="5" eb="7">
      <t>トチ</t>
    </rPh>
    <rPh sb="7" eb="9">
      <t>カイハツ</t>
    </rPh>
    <rPh sb="9" eb="11">
      <t>コウシャ</t>
    </rPh>
    <phoneticPr fontId="3"/>
  </si>
  <si>
    <t>（財）茅ヶ崎市
文化振興財団</t>
    <rPh sb="1" eb="2">
      <t>ザイ</t>
    </rPh>
    <rPh sb="3" eb="7">
      <t>チガサキシ</t>
    </rPh>
    <rPh sb="8" eb="10">
      <t>ブンカ</t>
    </rPh>
    <rPh sb="10" eb="12">
      <t>シンコウ</t>
    </rPh>
    <rPh sb="12" eb="14">
      <t>ザイダン</t>
    </rPh>
    <phoneticPr fontId="3"/>
  </si>
  <si>
    <t>（社福）茅ヶ崎市
社会福祉事業団</t>
    <rPh sb="1" eb="3">
      <t>シャフク</t>
    </rPh>
    <rPh sb="4" eb="8">
      <t>チガサキシ</t>
    </rPh>
    <rPh sb="9" eb="11">
      <t>シャカイ</t>
    </rPh>
    <rPh sb="11" eb="13">
      <t>フクシ</t>
    </rPh>
    <rPh sb="13" eb="16">
      <t>ジギョウダン</t>
    </rPh>
    <phoneticPr fontId="3"/>
  </si>
  <si>
    <t>公共下水道
事業</t>
    <rPh sb="0" eb="2">
      <t>コウキョウ</t>
    </rPh>
    <rPh sb="2" eb="5">
      <t>ゲスイドウ</t>
    </rPh>
    <rPh sb="6" eb="8">
      <t>ジギョウ</t>
    </rPh>
    <phoneticPr fontId="3"/>
  </si>
  <si>
    <t>介護保険
事業</t>
    <rPh sb="0" eb="2">
      <t>カイゴ</t>
    </rPh>
    <rPh sb="2" eb="4">
      <t>ホケン</t>
    </rPh>
    <rPh sb="5" eb="7">
      <t>ジギョウ</t>
    </rPh>
    <phoneticPr fontId="3"/>
  </si>
  <si>
    <t>５．連結精算表</t>
    <rPh sb="4" eb="6">
      <t>セイサン</t>
    </rPh>
    <rPh sb="6" eb="7">
      <t>ヒョウ</t>
    </rPh>
    <phoneticPr fontId="3"/>
  </si>
  <si>
    <t>連結貸借対照表内訳表</t>
    <rPh sb="2" eb="4">
      <t>タイシャク</t>
    </rPh>
    <rPh sb="4" eb="7">
      <t>タイショウヒョウ</t>
    </rPh>
    <rPh sb="7" eb="9">
      <t>ウチワケ</t>
    </rPh>
    <rPh sb="9" eb="10">
      <t>ヒョウ</t>
    </rPh>
    <phoneticPr fontId="3"/>
  </si>
  <si>
    <t>連結行政コスト計算書内訳表</t>
    <rPh sb="2" eb="4">
      <t>ギョウセイ</t>
    </rPh>
    <rPh sb="7" eb="10">
      <t>ケイサンショ</t>
    </rPh>
    <rPh sb="10" eb="12">
      <t>ウチワケ</t>
    </rPh>
    <rPh sb="12" eb="13">
      <t>ヒョウ</t>
    </rPh>
    <phoneticPr fontId="3"/>
  </si>
  <si>
    <t>連結純資産変動計算書内訳表</t>
    <rPh sb="2" eb="5">
      <t>ジュンシサン</t>
    </rPh>
    <rPh sb="5" eb="7">
      <t>ヘンドウ</t>
    </rPh>
    <rPh sb="7" eb="10">
      <t>ケイサンショ</t>
    </rPh>
    <phoneticPr fontId="3"/>
  </si>
  <si>
    <t>連結資金収支計算書内訳表</t>
    <rPh sb="2" eb="4">
      <t>シキン</t>
    </rPh>
    <rPh sb="4" eb="6">
      <t>シュウシ</t>
    </rPh>
    <rPh sb="6" eb="9">
      <t>ケイサンショ</t>
    </rPh>
    <rPh sb="9" eb="11">
      <t>ウチワケ</t>
    </rPh>
    <rPh sb="11" eb="12">
      <t>ヒョウ</t>
    </rPh>
    <phoneticPr fontId="3"/>
  </si>
  <si>
    <t>.</t>
    <phoneticPr fontId="3"/>
  </si>
  <si>
    <t>連結修正
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</si>
</sst>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6" fillId="0" borderId="32">
      <alignment horizontal="center"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0" fillId="0" borderId="68" xfId="3" applyFont="1" applyFill="1" applyBorder="1"/>
    <xf numFmtId="0" fontId="0" fillId="0" borderId="79" xfId="3" applyFont="1" applyFill="1" applyBorder="1"/>
    <xf numFmtId="0" fontId="0" fillId="0" borderId="57" xfId="3" applyFont="1" applyFill="1" applyBorder="1"/>
    <xf numFmtId="0" fontId="0" fillId="0" borderId="92" xfId="3" applyFont="1" applyFill="1" applyBorder="1"/>
    <xf numFmtId="0" fontId="0" fillId="0" borderId="13" xfId="3" applyFont="1" applyFill="1" applyBorder="1"/>
    <xf numFmtId="0" fontId="0" fillId="0" borderId="47" xfId="3" applyFont="1" applyFill="1" applyBorder="1"/>
    <xf numFmtId="0" fontId="0" fillId="0" borderId="49" xfId="3" applyFont="1" applyFill="1" applyBorder="1"/>
    <xf numFmtId="0" fontId="0" fillId="0" borderId="59" xfId="3" applyFont="1" applyFill="1" applyBorder="1"/>
    <xf numFmtId="0" fontId="0" fillId="0" borderId="61" xfId="3" applyFont="1" applyFill="1" applyBorder="1"/>
    <xf numFmtId="38" fontId="0" fillId="0" borderId="0" xfId="6" applyFont="1" applyFill="1" applyBorder="1" applyAlignment="1">
      <alignment vertical="center"/>
    </xf>
    <xf numFmtId="0" fontId="0" fillId="0" borderId="64" xfId="3" applyFont="1" applyFill="1" applyBorder="1"/>
    <xf numFmtId="0" fontId="0" fillId="0" borderId="51" xfId="3" applyFont="1" applyFill="1" applyBorder="1"/>
    <xf numFmtId="0" fontId="0" fillId="0" borderId="62" xfId="3" applyFont="1" applyFill="1" applyBorder="1"/>
    <xf numFmtId="0" fontId="0" fillId="0" borderId="0" xfId="3" applyFont="1" applyFill="1" applyBorder="1"/>
    <xf numFmtId="0" fontId="0" fillId="0" borderId="17" xfId="3" applyFont="1" applyFill="1" applyBorder="1" applyAlignment="1">
      <alignment horizontal="center" vertical="center"/>
    </xf>
    <xf numFmtId="0" fontId="0" fillId="0" borderId="0" xfId="3" applyFont="1" applyFill="1" applyBorder="1" applyAlignment="1">
      <alignment horizontal="center" vertical="center"/>
    </xf>
    <xf numFmtId="0" fontId="0" fillId="0" borderId="9" xfId="3" applyFont="1" applyFill="1" applyBorder="1" applyAlignment="1">
      <alignment horizontal="center" vertical="center"/>
    </xf>
    <xf numFmtId="0" fontId="0" fillId="0" borderId="45" xfId="3" applyFont="1" applyFill="1" applyBorder="1" applyAlignment="1">
      <alignment horizontal="center" vertical="center" wrapText="1"/>
    </xf>
    <xf numFmtId="0" fontId="0" fillId="0" borderId="42" xfId="3" applyFont="1" applyFill="1" applyBorder="1" applyAlignment="1">
      <alignment horizontal="center" vertical="center" wrapText="1"/>
    </xf>
    <xf numFmtId="0" fontId="0" fillId="0" borderId="46" xfId="3" applyFont="1" applyFill="1" applyBorder="1" applyAlignment="1">
      <alignment horizontal="center" vertical="center" wrapText="1"/>
    </xf>
    <xf numFmtId="0" fontId="0" fillId="0" borderId="1" xfId="3" applyFont="1" applyFill="1" applyBorder="1"/>
    <xf numFmtId="0" fontId="0" fillId="0" borderId="50" xfId="3" applyFont="1" applyFill="1" applyBorder="1"/>
    <xf numFmtId="0" fontId="0" fillId="0" borderId="90" xfId="3" applyFont="1" applyFill="1" applyBorder="1"/>
    <xf numFmtId="0" fontId="0" fillId="0" borderId="56" xfId="3" applyFont="1" applyFill="1" applyBorder="1"/>
    <xf numFmtId="0" fontId="0" fillId="0" borderId="58" xfId="3" applyFont="1" applyFill="1" applyBorder="1"/>
    <xf numFmtId="0" fontId="0" fillId="0" borderId="67" xfId="3" applyFont="1" applyFill="1" applyBorder="1"/>
    <xf numFmtId="0" fontId="0" fillId="0" borderId="70" xfId="3" applyFont="1" applyFill="1" applyBorder="1"/>
    <xf numFmtId="0" fontId="0" fillId="0" borderId="72" xfId="3" applyFont="1" applyFill="1" applyBorder="1"/>
    <xf numFmtId="0" fontId="0" fillId="0" borderId="73" xfId="3" applyFont="1" applyFill="1" applyBorder="1"/>
    <xf numFmtId="0" fontId="0" fillId="0" borderId="69" xfId="3" applyFont="1" applyFill="1" applyBorder="1"/>
    <xf numFmtId="0" fontId="0" fillId="0" borderId="78" xfId="3" applyFont="1" applyFill="1" applyBorder="1"/>
    <xf numFmtId="0" fontId="0" fillId="0" borderId="81" xfId="3" applyFont="1" applyFill="1" applyBorder="1"/>
    <xf numFmtId="0" fontId="0" fillId="0" borderId="83" xfId="3" applyFont="1" applyFill="1" applyBorder="1"/>
    <xf numFmtId="0" fontId="0" fillId="0" borderId="84" xfId="3" applyFont="1" applyFill="1" applyBorder="1"/>
    <xf numFmtId="0" fontId="0" fillId="0" borderId="86" xfId="3" applyFont="1" applyFill="1" applyBorder="1"/>
    <xf numFmtId="0" fontId="0" fillId="0" borderId="80" xfId="3" applyFont="1" applyFill="1" applyBorder="1"/>
    <xf numFmtId="0" fontId="0" fillId="0" borderId="89" xfId="3" applyFont="1" applyFill="1" applyBorder="1"/>
    <xf numFmtId="0" fontId="0" fillId="0" borderId="91" xfId="3" applyFont="1" applyFill="1" applyBorder="1"/>
    <xf numFmtId="0" fontId="0" fillId="0" borderId="94" xfId="3" applyFont="1" applyFill="1" applyBorder="1"/>
    <xf numFmtId="0" fontId="0" fillId="0" borderId="96" xfId="3" applyFont="1" applyFill="1" applyBorder="1"/>
    <xf numFmtId="0" fontId="0" fillId="0" borderId="97" xfId="3" applyFont="1" applyFill="1" applyBorder="1"/>
    <xf numFmtId="0" fontId="0" fillId="0" borderId="93" xfId="3" applyFont="1" applyFill="1" applyBorder="1"/>
    <xf numFmtId="0" fontId="0" fillId="0" borderId="17" xfId="3" applyFont="1" applyFill="1" applyBorder="1"/>
    <xf numFmtId="0" fontId="0" fillId="0" borderId="14" xfId="3" applyFont="1" applyFill="1" applyBorder="1"/>
    <xf numFmtId="0" fontId="0" fillId="0" borderId="107" xfId="3" applyFont="1" applyFill="1" applyBorder="1"/>
    <xf numFmtId="0" fontId="0" fillId="0" borderId="109" xfId="3" applyFont="1" applyFill="1" applyBorder="1"/>
    <xf numFmtId="0" fontId="0" fillId="0" borderId="33" xfId="3" applyFont="1" applyFill="1" applyBorder="1"/>
    <xf numFmtId="0" fontId="0" fillId="0" borderId="3" xfId="3" applyFont="1" applyFill="1" applyBorder="1"/>
    <xf numFmtId="0" fontId="0" fillId="0" borderId="4" xfId="3" applyFont="1" applyFill="1" applyBorder="1"/>
    <xf numFmtId="0" fontId="0" fillId="0" borderId="102" xfId="3" applyFont="1" applyFill="1" applyBorder="1"/>
    <xf numFmtId="0" fontId="0" fillId="0" borderId="104" xfId="3" applyFont="1" applyFill="1" applyBorder="1"/>
    <xf numFmtId="0" fontId="0" fillId="0" borderId="29" xfId="3" applyFont="1" applyFill="1" applyBorder="1"/>
    <xf numFmtId="0" fontId="0" fillId="0" borderId="0" xfId="5" applyFont="1" applyFill="1">
      <alignment vertical="center"/>
    </xf>
    <xf numFmtId="0" fontId="0" fillId="0" borderId="0" xfId="3" applyFont="1"/>
    <xf numFmtId="0" fontId="5" fillId="0" borderId="0" xfId="3" applyFont="1"/>
    <xf numFmtId="0" fontId="0" fillId="0" borderId="0" xfId="3" applyFont="1" applyFill="1"/>
    <xf numFmtId="0" fontId="0" fillId="0" borderId="0" xfId="3" applyFont="1" applyFill="1" applyAlignment="1">
      <alignment horizontal="center" vertical="center"/>
    </xf>
    <xf numFmtId="0" fontId="0" fillId="0" borderId="42" xfId="3" applyFont="1" applyFill="1" applyBorder="1" applyAlignment="1">
      <alignment horizontal="center" vertical="center" wrapText="1"/>
    </xf>
    <xf numFmtId="38" fontId="0" fillId="0" borderId="64" xfId="1" applyFont="1" applyFill="1" applyBorder="1" applyAlignment="1"/>
    <xf numFmtId="38" fontId="0" fillId="0" borderId="64" xfId="3" applyNumberFormat="1" applyFont="1" applyFill="1" applyBorder="1"/>
    <xf numFmtId="38" fontId="0" fillId="0" borderId="53" xfId="1" applyFont="1" applyFill="1" applyBorder="1" applyAlignment="1"/>
    <xf numFmtId="38" fontId="0" fillId="0" borderId="75" xfId="1" applyFont="1" applyFill="1" applyBorder="1" applyAlignment="1"/>
    <xf numFmtId="38" fontId="0" fillId="0" borderId="86" xfId="1" applyFont="1" applyFill="1" applyBorder="1" applyAlignment="1"/>
    <xf numFmtId="38" fontId="0" fillId="0" borderId="99" xfId="1" applyFont="1" applyFill="1" applyBorder="1" applyAlignment="1"/>
    <xf numFmtId="38" fontId="0" fillId="0" borderId="111" xfId="1" applyFont="1" applyFill="1" applyBorder="1" applyAlignment="1"/>
    <xf numFmtId="38" fontId="0" fillId="0" borderId="105" xfId="1" applyFont="1" applyFill="1" applyBorder="1" applyAlignment="1"/>
    <xf numFmtId="0" fontId="0" fillId="0" borderId="44" xfId="3" applyFont="1" applyFill="1" applyBorder="1" applyAlignment="1">
      <alignment horizontal="center" vertical="center" wrapText="1"/>
    </xf>
    <xf numFmtId="0" fontId="0" fillId="0" borderId="5" xfId="3" applyFont="1" applyFill="1" applyBorder="1" applyAlignment="1">
      <alignment horizontal="center"/>
    </xf>
    <xf numFmtId="38" fontId="0" fillId="0" borderId="60" xfId="1" applyFont="1" applyFill="1" applyBorder="1" applyAlignment="1"/>
    <xf numFmtId="38" fontId="0" fillId="0" borderId="48" xfId="1" applyFont="1" applyFill="1" applyBorder="1" applyAlignment="1"/>
    <xf numFmtId="38" fontId="0" fillId="0" borderId="82" xfId="1" applyFont="1" applyFill="1" applyBorder="1" applyAlignment="1"/>
    <xf numFmtId="38" fontId="0" fillId="0" borderId="108" xfId="1" applyFont="1" applyFill="1" applyBorder="1" applyAlignment="1"/>
    <xf numFmtId="0" fontId="0" fillId="0" borderId="44" xfId="3" applyFont="1" applyFill="1" applyBorder="1" applyAlignment="1">
      <alignment horizontal="center" vertical="center" wrapText="1"/>
    </xf>
    <xf numFmtId="0" fontId="0" fillId="0" borderId="5" xfId="3" applyFont="1" applyFill="1" applyBorder="1" applyAlignment="1">
      <alignment horizontal="center"/>
    </xf>
    <xf numFmtId="38" fontId="0" fillId="0" borderId="75" xfId="3" applyNumberFormat="1" applyFont="1" applyFill="1" applyBorder="1"/>
    <xf numFmtId="38" fontId="0" fillId="0" borderId="49" xfId="1" applyFont="1" applyFill="1" applyBorder="1" applyAlignment="1"/>
    <xf numFmtId="38" fontId="0" fillId="0" borderId="61" xfId="1" applyFont="1" applyFill="1" applyBorder="1" applyAlignment="1"/>
    <xf numFmtId="38" fontId="0" fillId="0" borderId="72" xfId="1" applyFont="1" applyFill="1" applyBorder="1" applyAlignment="1"/>
    <xf numFmtId="38" fontId="0" fillId="0" borderId="83" xfId="1" applyFont="1" applyFill="1" applyBorder="1" applyAlignment="1"/>
    <xf numFmtId="38" fontId="0" fillId="0" borderId="96" xfId="1" applyFont="1" applyFill="1" applyBorder="1" applyAlignment="1"/>
    <xf numFmtId="38" fontId="0" fillId="0" borderId="65" xfId="1" applyFont="1" applyFill="1" applyBorder="1" applyAlignment="1"/>
    <xf numFmtId="38" fontId="0" fillId="0" borderId="71" xfId="1" applyFont="1" applyFill="1" applyBorder="1" applyAlignment="1"/>
    <xf numFmtId="38" fontId="0" fillId="0" borderId="76" xfId="1" applyFont="1" applyFill="1" applyBorder="1" applyAlignment="1"/>
    <xf numFmtId="38" fontId="0" fillId="0" borderId="87" xfId="1" applyFont="1" applyFill="1" applyBorder="1" applyAlignment="1"/>
    <xf numFmtId="38" fontId="0" fillId="0" borderId="54" xfId="1" applyFont="1" applyFill="1" applyBorder="1" applyAlignment="1"/>
    <xf numFmtId="38" fontId="0" fillId="0" borderId="95" xfId="1" applyFont="1" applyFill="1" applyBorder="1" applyAlignment="1"/>
    <xf numFmtId="38" fontId="0" fillId="0" borderId="100" xfId="1" applyFont="1" applyFill="1" applyBorder="1" applyAlignment="1"/>
    <xf numFmtId="38" fontId="0" fillId="0" borderId="103" xfId="1" applyFont="1" applyFill="1" applyBorder="1" applyAlignment="1"/>
    <xf numFmtId="38" fontId="0" fillId="0" borderId="106" xfId="1" applyFont="1" applyFill="1" applyBorder="1" applyAlignment="1"/>
    <xf numFmtId="38" fontId="0" fillId="0" borderId="104" xfId="1" applyFont="1" applyFill="1" applyBorder="1" applyAlignment="1"/>
    <xf numFmtId="38" fontId="0" fillId="0" borderId="109" xfId="1" applyFont="1" applyFill="1" applyBorder="1" applyAlignment="1"/>
    <xf numFmtId="38" fontId="0" fillId="0" borderId="47" xfId="1" applyFont="1" applyFill="1" applyBorder="1" applyAlignment="1"/>
    <xf numFmtId="38" fontId="0" fillId="0" borderId="59" xfId="1" applyFont="1" applyFill="1" applyBorder="1" applyAlignment="1"/>
    <xf numFmtId="38" fontId="0" fillId="0" borderId="70" xfId="1" applyFont="1" applyFill="1" applyBorder="1" applyAlignment="1"/>
    <xf numFmtId="38" fontId="0" fillId="0" borderId="81" xfId="1" applyFont="1" applyFill="1" applyBorder="1" applyAlignment="1"/>
    <xf numFmtId="38" fontId="0" fillId="0" borderId="94" xfId="1" applyFont="1" applyFill="1" applyBorder="1" applyAlignment="1"/>
    <xf numFmtId="38" fontId="0" fillId="0" borderId="102" xfId="1" applyFont="1" applyFill="1" applyBorder="1" applyAlignment="1"/>
    <xf numFmtId="38" fontId="0" fillId="0" borderId="107" xfId="1" applyFont="1" applyFill="1" applyBorder="1" applyAlignment="1"/>
    <xf numFmtId="38" fontId="0" fillId="0" borderId="51" xfId="3" applyNumberFormat="1" applyFont="1" applyFill="1" applyBorder="1"/>
    <xf numFmtId="38" fontId="0" fillId="0" borderId="62" xfId="1" applyFont="1" applyFill="1" applyBorder="1" applyAlignment="1"/>
    <xf numFmtId="38" fontId="0" fillId="0" borderId="73" xfId="1" applyFont="1" applyFill="1" applyBorder="1" applyAlignment="1"/>
    <xf numFmtId="38" fontId="0" fillId="0" borderId="84" xfId="1" applyFont="1" applyFill="1" applyBorder="1" applyAlignment="1"/>
    <xf numFmtId="38" fontId="0" fillId="0" borderId="51" xfId="1" applyFont="1" applyFill="1" applyBorder="1" applyAlignment="1"/>
    <xf numFmtId="38" fontId="0" fillId="0" borderId="97" xfId="1" applyFont="1" applyFill="1" applyBorder="1" applyAlignment="1"/>
    <xf numFmtId="38" fontId="0" fillId="0" borderId="29" xfId="1" applyFont="1" applyFill="1" applyBorder="1" applyAlignment="1"/>
    <xf numFmtId="38" fontId="0" fillId="0" borderId="33" xfId="1" applyFont="1" applyFill="1" applyBorder="1" applyAlignment="1"/>
    <xf numFmtId="38" fontId="0" fillId="0" borderId="58" xfId="1" applyFont="1" applyFill="1" applyBorder="1" applyAlignment="1"/>
    <xf numFmtId="38" fontId="10" fillId="0" borderId="62" xfId="1" applyFont="1" applyFill="1" applyBorder="1" applyAlignment="1"/>
    <xf numFmtId="38" fontId="0" fillId="0" borderId="80" xfId="1" applyFont="1" applyFill="1" applyBorder="1" applyAlignment="1"/>
    <xf numFmtId="38" fontId="0" fillId="0" borderId="62" xfId="3" applyNumberFormat="1" applyFont="1" applyFill="1" applyBorder="1"/>
    <xf numFmtId="38" fontId="0" fillId="0" borderId="52" xfId="3" applyNumberFormat="1" applyFont="1" applyFill="1" applyBorder="1"/>
    <xf numFmtId="38" fontId="0" fillId="0" borderId="63" xfId="1" applyFont="1" applyFill="1" applyBorder="1" applyAlignment="1"/>
    <xf numFmtId="38" fontId="0" fillId="0" borderId="74" xfId="1" applyFont="1" applyFill="1" applyBorder="1" applyAlignment="1"/>
    <xf numFmtId="38" fontId="0" fillId="0" borderId="85" xfId="1" applyFont="1" applyFill="1" applyBorder="1" applyAlignment="1"/>
    <xf numFmtId="38" fontId="0" fillId="0" borderId="52" xfId="1" applyFont="1" applyFill="1" applyBorder="1" applyAlignment="1"/>
    <xf numFmtId="38" fontId="0" fillId="0" borderId="31" xfId="1" applyFont="1" applyFill="1" applyBorder="1" applyAlignment="1"/>
    <xf numFmtId="38" fontId="0" fillId="0" borderId="110" xfId="1" applyFont="1" applyFill="1" applyBorder="1" applyAlignment="1"/>
    <xf numFmtId="38" fontId="0" fillId="0" borderId="98" xfId="1" applyFont="1" applyFill="1" applyBorder="1" applyAlignment="1"/>
    <xf numFmtId="38" fontId="0" fillId="0" borderId="90" xfId="1" applyFont="1" applyFill="1" applyBorder="1" applyAlignment="1"/>
    <xf numFmtId="38" fontId="0" fillId="0" borderId="58" xfId="3" applyNumberFormat="1" applyFont="1" applyFill="1" applyBorder="1"/>
    <xf numFmtId="38" fontId="0" fillId="0" borderId="90" xfId="3" applyNumberFormat="1" applyFont="1" applyFill="1" applyBorder="1"/>
    <xf numFmtId="38" fontId="0" fillId="0" borderId="94" xfId="3" applyNumberFormat="1" applyFont="1" applyFill="1" applyBorder="1"/>
    <xf numFmtId="38" fontId="0" fillId="0" borderId="15" xfId="3" applyNumberFormat="1" applyFont="1" applyFill="1" applyBorder="1"/>
    <xf numFmtId="38" fontId="0" fillId="0" borderId="50" xfId="1" applyFont="1" applyFill="1" applyBorder="1" applyAlignment="1"/>
    <xf numFmtId="38" fontId="0" fillId="0" borderId="113" xfId="1" applyFont="1" applyFill="1" applyBorder="1" applyAlignment="1"/>
    <xf numFmtId="38" fontId="0" fillId="0" borderId="55" xfId="1" applyFont="1" applyFill="1" applyBorder="1" applyAlignment="1"/>
    <xf numFmtId="38" fontId="0" fillId="0" borderId="57" xfId="1" applyFont="1" applyFill="1" applyBorder="1" applyAlignment="1"/>
    <xf numFmtId="38" fontId="0" fillId="0" borderId="66" xfId="1" applyFont="1" applyFill="1" applyBorder="1" applyAlignment="1"/>
    <xf numFmtId="38" fontId="0" fillId="0" borderId="68" xfId="1" applyFont="1" applyFill="1" applyBorder="1" applyAlignment="1"/>
    <xf numFmtId="38" fontId="0" fillId="0" borderId="77" xfId="1" applyFont="1" applyFill="1" applyBorder="1" applyAlignment="1"/>
    <xf numFmtId="38" fontId="0" fillId="0" borderId="79" xfId="1" applyFont="1" applyFill="1" applyBorder="1" applyAlignment="1"/>
    <xf numFmtId="38" fontId="0" fillId="0" borderId="114" xfId="1" applyFont="1" applyFill="1" applyBorder="1" applyAlignment="1"/>
    <xf numFmtId="38" fontId="0" fillId="0" borderId="88" xfId="1" applyFont="1" applyFill="1" applyBorder="1" applyAlignment="1"/>
    <xf numFmtId="38" fontId="0" fillId="0" borderId="92" xfId="1" applyFont="1" applyFill="1" applyBorder="1" applyAlignment="1"/>
    <xf numFmtId="38" fontId="0" fillId="0" borderId="101" xfId="1" applyFont="1" applyFill="1" applyBorder="1" applyAlignment="1"/>
    <xf numFmtId="38" fontId="0" fillId="0" borderId="27" xfId="1" applyFont="1" applyFill="1" applyBorder="1" applyAlignment="1"/>
    <xf numFmtId="38" fontId="0" fillId="0" borderId="6" xfId="1" applyFont="1" applyFill="1" applyBorder="1" applyAlignment="1"/>
    <xf numFmtId="38" fontId="0" fillId="0" borderId="15" xfId="1" applyFont="1" applyFill="1" applyBorder="1" applyAlignment="1"/>
    <xf numFmtId="38" fontId="0" fillId="0" borderId="16" xfId="1" applyFont="1" applyFill="1" applyBorder="1" applyAlignment="1"/>
    <xf numFmtId="38" fontId="0" fillId="0" borderId="119" xfId="1" applyFont="1" applyFill="1" applyBorder="1" applyAlignment="1"/>
    <xf numFmtId="38" fontId="0" fillId="0" borderId="116" xfId="1" applyFont="1" applyFill="1" applyBorder="1" applyAlignment="1"/>
    <xf numFmtId="38" fontId="0" fillId="0" borderId="117" xfId="1" applyFont="1" applyFill="1" applyBorder="1" applyAlignment="1"/>
    <xf numFmtId="38" fontId="0" fillId="0" borderId="118" xfId="1" applyFont="1" applyFill="1" applyBorder="1" applyAlignment="1"/>
    <xf numFmtId="38" fontId="0" fillId="0" borderId="123" xfId="1" applyFont="1" applyFill="1" applyBorder="1" applyAlignment="1"/>
    <xf numFmtId="38" fontId="0" fillId="0" borderId="120" xfId="1" applyFont="1" applyFill="1" applyBorder="1" applyAlignment="1"/>
    <xf numFmtId="38" fontId="0" fillId="0" borderId="121" xfId="1" applyFont="1" applyFill="1" applyBorder="1" applyAlignment="1"/>
    <xf numFmtId="38" fontId="0" fillId="0" borderId="122" xfId="1" applyFont="1" applyFill="1" applyBorder="1" applyAlignment="1"/>
    <xf numFmtId="38" fontId="0" fillId="0" borderId="127" xfId="1" applyFont="1" applyFill="1" applyBorder="1" applyAlignment="1"/>
    <xf numFmtId="38" fontId="0" fillId="0" borderId="124" xfId="1" applyFont="1" applyFill="1" applyBorder="1" applyAlignment="1"/>
    <xf numFmtId="38" fontId="0" fillId="0" borderId="125" xfId="1" applyFont="1" applyFill="1" applyBorder="1" applyAlignment="1"/>
    <xf numFmtId="38" fontId="0" fillId="0" borderId="126" xfId="1" applyFont="1" applyFill="1" applyBorder="1" applyAlignment="1"/>
    <xf numFmtId="38" fontId="0" fillId="0" borderId="93" xfId="1" applyFont="1" applyFill="1" applyBorder="1" applyAlignment="1"/>
    <xf numFmtId="38" fontId="0" fillId="0" borderId="112" xfId="1" applyFont="1" applyFill="1" applyBorder="1" applyAlignment="1"/>
    <xf numFmtId="0" fontId="0" fillId="0" borderId="128" xfId="3" applyFont="1" applyFill="1" applyBorder="1"/>
    <xf numFmtId="38" fontId="0" fillId="0" borderId="61" xfId="3" applyNumberFormat="1" applyFont="1" applyFill="1" applyBorder="1"/>
    <xf numFmtId="38" fontId="10" fillId="0" borderId="61" xfId="1" applyFont="1" applyFill="1" applyBorder="1" applyAlignment="1"/>
    <xf numFmtId="38" fontId="0" fillId="0" borderId="59" xfId="3" applyNumberFormat="1" applyFont="1" applyFill="1" applyBorder="1"/>
    <xf numFmtId="38" fontId="0" fillId="0" borderId="129" xfId="1" applyFont="1" applyFill="1" applyBorder="1" applyAlignment="1"/>
    <xf numFmtId="38" fontId="0" fillId="0" borderId="130" xfId="1" applyFont="1" applyFill="1" applyBorder="1" applyAlignment="1"/>
    <xf numFmtId="0" fontId="0" fillId="0" borderId="131" xfId="3" applyFont="1" applyFill="1" applyBorder="1"/>
    <xf numFmtId="38" fontId="0" fillId="0" borderId="132" xfId="1" applyFont="1" applyFill="1" applyBorder="1" applyAlignment="1"/>
    <xf numFmtId="38" fontId="0" fillId="0" borderId="133" xfId="1" applyFont="1" applyFill="1" applyBorder="1" applyAlignment="1"/>
    <xf numFmtId="0" fontId="0" fillId="0" borderId="134" xfId="3" applyFont="1" applyFill="1" applyBorder="1"/>
    <xf numFmtId="38" fontId="0" fillId="0" borderId="135" xfId="1" applyFont="1" applyFill="1" applyBorder="1" applyAlignment="1"/>
    <xf numFmtId="38" fontId="0" fillId="0" borderId="136" xfId="1" applyFont="1" applyFill="1" applyBorder="1" applyAlignment="1"/>
    <xf numFmtId="0" fontId="0" fillId="0" borderId="137" xfId="3" applyFont="1" applyFill="1" applyBorder="1"/>
    <xf numFmtId="0" fontId="0" fillId="0" borderId="138" xfId="3" applyFont="1" applyFill="1" applyBorder="1"/>
    <xf numFmtId="0" fontId="0" fillId="0" borderId="18" xfId="3" applyFont="1" applyFill="1" applyBorder="1" applyAlignment="1">
      <alignment horizontal="center" vertical="center"/>
    </xf>
    <xf numFmtId="0" fontId="0" fillId="0" borderId="17" xfId="3" applyFont="1" applyFill="1" applyBorder="1" applyAlignment="1">
      <alignment horizontal="center" vertical="center"/>
    </xf>
    <xf numFmtId="0" fontId="0" fillId="0" borderId="1" xfId="3" applyFont="1" applyFill="1" applyBorder="1" applyAlignment="1">
      <alignment horizontal="center" vertical="center"/>
    </xf>
    <xf numFmtId="0" fontId="0" fillId="0" borderId="0" xfId="3" applyFont="1" applyFill="1" applyBorder="1" applyAlignment="1">
      <alignment horizontal="center" vertical="center"/>
    </xf>
    <xf numFmtId="0" fontId="0" fillId="0" borderId="8" xfId="3" applyFont="1" applyFill="1" applyBorder="1" applyAlignment="1">
      <alignment horizontal="center" vertical="center"/>
    </xf>
    <xf numFmtId="0" fontId="0" fillId="0" borderId="9" xfId="3" applyFont="1" applyFill="1" applyBorder="1" applyAlignment="1">
      <alignment horizontal="center" vertical="center"/>
    </xf>
    <xf numFmtId="0" fontId="0" fillId="0" borderId="20" xfId="3" applyFont="1" applyFill="1" applyBorder="1" applyAlignment="1">
      <alignment horizontal="center"/>
    </xf>
    <xf numFmtId="0" fontId="0" fillId="0" borderId="19" xfId="3" applyFont="1" applyFill="1" applyBorder="1" applyAlignment="1">
      <alignment horizontal="center"/>
    </xf>
    <xf numFmtId="0" fontId="0" fillId="0" borderId="34" xfId="3" applyFont="1" applyFill="1" applyBorder="1" applyAlignment="1">
      <alignment horizontal="center"/>
    </xf>
    <xf numFmtId="0" fontId="0" fillId="0" borderId="23" xfId="3" applyFont="1" applyFill="1" applyBorder="1" applyAlignment="1">
      <alignment horizontal="center"/>
    </xf>
    <xf numFmtId="0" fontId="0" fillId="0" borderId="35" xfId="3" applyFont="1" applyFill="1" applyBorder="1" applyAlignment="1">
      <alignment horizontal="center" vertical="center" wrapText="1"/>
    </xf>
    <xf numFmtId="0" fontId="0" fillId="0" borderId="37" xfId="3" applyFont="1" applyFill="1" applyBorder="1" applyAlignment="1">
      <alignment horizontal="center" vertical="center"/>
    </xf>
    <xf numFmtId="0" fontId="0" fillId="0" borderId="41" xfId="3" applyFont="1" applyFill="1" applyBorder="1" applyAlignment="1">
      <alignment horizontal="center" vertical="center"/>
    </xf>
    <xf numFmtId="0" fontId="0" fillId="0" borderId="39" xfId="3" applyFont="1" applyFill="1" applyBorder="1" applyAlignment="1">
      <alignment horizontal="center" vertical="center" wrapText="1"/>
    </xf>
    <xf numFmtId="0" fontId="0" fillId="0" borderId="115" xfId="3" applyFont="1" applyFill="1" applyBorder="1" applyAlignment="1">
      <alignment horizontal="center" vertical="center" wrapText="1"/>
    </xf>
    <xf numFmtId="0" fontId="0" fillId="0" borderId="45" xfId="3" applyFont="1" applyFill="1" applyBorder="1" applyAlignment="1">
      <alignment horizontal="center" vertical="center" wrapText="1"/>
    </xf>
    <xf numFmtId="0" fontId="0" fillId="0" borderId="24" xfId="3" applyFont="1" applyFill="1" applyBorder="1" applyAlignment="1">
      <alignment horizontal="center" vertical="center" wrapText="1"/>
    </xf>
    <xf numFmtId="0" fontId="0" fillId="0" borderId="0" xfId="3" applyFont="1" applyFill="1" applyBorder="1" applyAlignment="1">
      <alignment horizontal="center" vertical="center" wrapText="1"/>
    </xf>
    <xf numFmtId="0" fontId="0" fillId="0" borderId="9" xfId="3" applyFont="1" applyFill="1" applyBorder="1" applyAlignment="1">
      <alignment horizontal="center" vertical="center" wrapText="1"/>
    </xf>
    <xf numFmtId="0" fontId="0" fillId="0" borderId="30" xfId="3" applyFont="1" applyFill="1" applyBorder="1" applyAlignment="1">
      <alignment horizontal="center" vertical="center" wrapText="1"/>
    </xf>
    <xf numFmtId="0" fontId="0" fillId="0" borderId="21" xfId="3" applyFont="1" applyFill="1" applyBorder="1" applyAlignment="1">
      <alignment horizontal="center" vertical="center" wrapText="1"/>
    </xf>
    <xf numFmtId="0" fontId="0" fillId="0" borderId="22" xfId="3" applyFont="1" applyFill="1" applyBorder="1" applyAlignment="1">
      <alignment horizontal="center" vertical="center" wrapText="1"/>
    </xf>
    <xf numFmtId="0" fontId="0" fillId="0" borderId="36" xfId="3" applyFont="1" applyFill="1" applyBorder="1" applyAlignment="1">
      <alignment horizontal="center" vertical="center" wrapText="1"/>
    </xf>
    <xf numFmtId="0" fontId="0" fillId="0" borderId="38" xfId="3" applyFont="1" applyFill="1" applyBorder="1" applyAlignment="1">
      <alignment horizontal="center" vertical="center" wrapText="1"/>
    </xf>
    <xf numFmtId="0" fontId="0" fillId="0" borderId="43" xfId="3" applyFont="1" applyFill="1" applyBorder="1" applyAlignment="1">
      <alignment horizontal="center" vertical="center" wrapText="1"/>
    </xf>
    <xf numFmtId="0" fontId="0" fillId="0" borderId="39" xfId="3" applyFont="1" applyFill="1" applyBorder="1" applyAlignment="1">
      <alignment horizontal="center" vertical="center"/>
    </xf>
    <xf numFmtId="0" fontId="0" fillId="0" borderId="45" xfId="3" applyFont="1" applyFill="1" applyBorder="1" applyAlignment="1">
      <alignment horizontal="center" vertical="center"/>
    </xf>
    <xf numFmtId="0" fontId="0" fillId="0" borderId="25" xfId="3" applyFont="1" applyFill="1" applyBorder="1" applyAlignment="1">
      <alignment horizontal="center" vertical="center" wrapText="1"/>
    </xf>
    <xf numFmtId="0" fontId="0" fillId="0" borderId="2" xfId="3" applyFont="1" applyFill="1" applyBorder="1" applyAlignment="1">
      <alignment horizontal="center" vertical="center" wrapText="1"/>
    </xf>
    <xf numFmtId="0" fontId="0" fillId="0" borderId="12" xfId="3" applyFont="1" applyFill="1" applyBorder="1" applyAlignment="1">
      <alignment horizontal="center" vertical="center" wrapText="1"/>
    </xf>
    <xf numFmtId="0" fontId="0" fillId="0" borderId="4" xfId="3" applyFont="1" applyFill="1" applyBorder="1" applyAlignment="1">
      <alignment horizontal="center" vertical="center"/>
    </xf>
    <xf numFmtId="0" fontId="0" fillId="0" borderId="27" xfId="3" applyFont="1" applyFill="1" applyBorder="1" applyAlignment="1">
      <alignment horizontal="center" vertical="center"/>
    </xf>
    <xf numFmtId="0" fontId="0" fillId="0" borderId="26" xfId="3" applyFont="1" applyFill="1" applyBorder="1" applyAlignment="1">
      <alignment horizontal="center" vertical="center" wrapText="1"/>
    </xf>
    <xf numFmtId="0" fontId="0" fillId="0" borderId="11" xfId="3" applyFont="1" applyFill="1" applyBorder="1" applyAlignment="1">
      <alignment horizontal="center" vertical="center" wrapText="1"/>
    </xf>
    <xf numFmtId="0" fontId="0" fillId="0" borderId="37" xfId="3" applyFont="1" applyFill="1" applyBorder="1" applyAlignment="1">
      <alignment horizontal="center" vertical="center" wrapText="1"/>
    </xf>
    <xf numFmtId="0" fontId="0" fillId="0" borderId="41" xfId="3" applyFont="1" applyFill="1" applyBorder="1" applyAlignment="1">
      <alignment horizontal="center" vertical="center" wrapText="1"/>
    </xf>
    <xf numFmtId="0" fontId="0" fillId="0" borderId="28" xfId="3" applyFont="1" applyFill="1" applyBorder="1" applyAlignment="1">
      <alignment horizontal="center" vertical="center" wrapText="1"/>
    </xf>
    <xf numFmtId="0" fontId="0" fillId="0" borderId="7" xfId="3" applyFont="1" applyFill="1" applyBorder="1" applyAlignment="1">
      <alignment horizontal="center" vertical="center" wrapText="1"/>
    </xf>
    <xf numFmtId="0" fontId="0" fillId="0" borderId="10" xfId="3" applyFont="1" applyFill="1" applyBorder="1" applyAlignment="1">
      <alignment horizontal="center" vertical="center" wrapText="1"/>
    </xf>
    <xf numFmtId="0" fontId="4" fillId="0" borderId="35" xfId="3" applyFont="1" applyFill="1" applyBorder="1" applyAlignment="1">
      <alignment horizontal="center" vertical="center" wrapText="1"/>
    </xf>
    <xf numFmtId="0" fontId="4" fillId="0" borderId="41" xfId="3" applyFont="1" applyFill="1" applyBorder="1" applyAlignment="1">
      <alignment horizontal="center" vertical="center" wrapText="1"/>
    </xf>
    <xf numFmtId="0" fontId="0" fillId="0" borderId="5" xfId="3" applyFont="1" applyFill="1" applyBorder="1" applyAlignment="1">
      <alignment horizontal="center"/>
    </xf>
    <xf numFmtId="0" fontId="0" fillId="0" borderId="4" xfId="3" applyFont="1" applyFill="1" applyBorder="1" applyAlignment="1">
      <alignment horizontal="center"/>
    </xf>
    <xf numFmtId="0" fontId="0" fillId="0" borderId="27" xfId="3" applyFont="1" applyFill="1" applyBorder="1" applyAlignment="1">
      <alignment horizontal="center"/>
    </xf>
    <xf numFmtId="0" fontId="7" fillId="0" borderId="0" xfId="3" applyFont="1" applyAlignment="1">
      <alignment horizontal="center" vertical="center"/>
    </xf>
    <xf numFmtId="0" fontId="4" fillId="0" borderId="40" xfId="3" applyFont="1" applyFill="1" applyBorder="1" applyAlignment="1">
      <alignment horizontal="center" vertical="center" wrapText="1"/>
    </xf>
    <xf numFmtId="0" fontId="4" fillId="0" borderId="44" xfId="3" applyFont="1" applyFill="1" applyBorder="1" applyAlignment="1">
      <alignment horizontal="center" vertical="center" wrapText="1"/>
    </xf>
  </cellXfs>
  <cellStyles count="7">
    <cellStyle name="桁区切り" xfId="1" builtinId="6"/>
    <cellStyle name="桁区切り 2" xfId="6"/>
    <cellStyle name="標準" xfId="0" builtinId="0"/>
    <cellStyle name="標準 2" xfId="2"/>
    <cellStyle name="標準_03.04.01.財務諸表雛形_様式_桜内案１" xfId="5"/>
    <cellStyle name="標準_附属明細表PL・NW・WS　20060423修正版" xfId="3"/>
    <cellStyle name="標準１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216"/>
  <sheetViews>
    <sheetView tabSelected="1" view="pageBreakPreview" zoomScale="85" zoomScaleNormal="72" zoomScaleSheetLayoutView="85" workbookViewId="0">
      <pane xSplit="6" ySplit="9" topLeftCell="G10" activePane="bottomRight" state="frozen"/>
      <selection pane="topRight" activeCell="G1" sqref="G1"/>
      <selection pane="bottomLeft" activeCell="A10" sqref="A10"/>
      <selection pane="bottomRight" activeCell="F4" sqref="F4"/>
    </sheetView>
  </sheetViews>
  <sheetFormatPr defaultColWidth="9" defaultRowHeight="13.5" x14ac:dyDescent="0.15"/>
  <cols>
    <col min="1" max="5" width="1.75" style="56" customWidth="1"/>
    <col min="6" max="6" width="19.375" style="56" customWidth="1"/>
    <col min="7" max="7" width="13.125" style="56" customWidth="1"/>
    <col min="8" max="8" width="0.25" style="56" customWidth="1"/>
    <col min="9" max="9" width="13.125" style="56" customWidth="1"/>
    <col min="10" max="10" width="9" style="56" bestFit="1" customWidth="1"/>
    <col min="11" max="11" width="13.125" style="56" customWidth="1"/>
    <col min="12" max="18" width="14.625" style="56" customWidth="1"/>
    <col min="19" max="19" width="9" style="56" bestFit="1" customWidth="1"/>
    <col min="20" max="20" width="10.5" style="56" customWidth="1"/>
    <col min="21" max="21" width="14.625" style="56" customWidth="1"/>
    <col min="22" max="25" width="13.375" style="56" customWidth="1"/>
    <col min="26" max="27" width="12.375" style="56" customWidth="1"/>
    <col min="28" max="28" width="9" style="56" bestFit="1" customWidth="1"/>
    <col min="29" max="29" width="10.625" style="56" customWidth="1"/>
    <col min="30" max="30" width="13.375" style="56" customWidth="1"/>
    <col min="31" max="250" width="9" style="56"/>
    <col min="251" max="254" width="1.75" style="56" customWidth="1"/>
    <col min="255" max="255" width="21.5" style="56" customWidth="1"/>
    <col min="256" max="286" width="9.75" style="56" customWidth="1"/>
    <col min="287" max="506" width="9" style="56"/>
    <col min="507" max="510" width="1.75" style="56" customWidth="1"/>
    <col min="511" max="511" width="21.5" style="56" customWidth="1"/>
    <col min="512" max="542" width="9.75" style="56" customWidth="1"/>
    <col min="543" max="762" width="9" style="56"/>
    <col min="763" max="766" width="1.75" style="56" customWidth="1"/>
    <col min="767" max="767" width="21.5" style="56" customWidth="1"/>
    <col min="768" max="798" width="9.75" style="56" customWidth="1"/>
    <col min="799" max="1018" width="9" style="56"/>
    <col min="1019" max="1022" width="1.75" style="56" customWidth="1"/>
    <col min="1023" max="1023" width="21.5" style="56" customWidth="1"/>
    <col min="1024" max="1054" width="9.75" style="56" customWidth="1"/>
    <col min="1055" max="1274" width="9" style="56"/>
    <col min="1275" max="1278" width="1.75" style="56" customWidth="1"/>
    <col min="1279" max="1279" width="21.5" style="56" customWidth="1"/>
    <col min="1280" max="1310" width="9.75" style="56" customWidth="1"/>
    <col min="1311" max="1530" width="9" style="56"/>
    <col min="1531" max="1534" width="1.75" style="56" customWidth="1"/>
    <col min="1535" max="1535" width="21.5" style="56" customWidth="1"/>
    <col min="1536" max="1566" width="9.75" style="56" customWidth="1"/>
    <col min="1567" max="1786" width="9" style="56"/>
    <col min="1787" max="1790" width="1.75" style="56" customWidth="1"/>
    <col min="1791" max="1791" width="21.5" style="56" customWidth="1"/>
    <col min="1792" max="1822" width="9.75" style="56" customWidth="1"/>
    <col min="1823" max="2042" width="9" style="56"/>
    <col min="2043" max="2046" width="1.75" style="56" customWidth="1"/>
    <col min="2047" max="2047" width="21.5" style="56" customWidth="1"/>
    <col min="2048" max="2078" width="9.75" style="56" customWidth="1"/>
    <col min="2079" max="2298" width="9" style="56"/>
    <col min="2299" max="2302" width="1.75" style="56" customWidth="1"/>
    <col min="2303" max="2303" width="21.5" style="56" customWidth="1"/>
    <col min="2304" max="2334" width="9.75" style="56" customWidth="1"/>
    <col min="2335" max="2554" width="9" style="56"/>
    <col min="2555" max="2558" width="1.75" style="56" customWidth="1"/>
    <col min="2559" max="2559" width="21.5" style="56" customWidth="1"/>
    <col min="2560" max="2590" width="9.75" style="56" customWidth="1"/>
    <col min="2591" max="2810" width="9" style="56"/>
    <col min="2811" max="2814" width="1.75" style="56" customWidth="1"/>
    <col min="2815" max="2815" width="21.5" style="56" customWidth="1"/>
    <col min="2816" max="2846" width="9.75" style="56" customWidth="1"/>
    <col min="2847" max="3066" width="9" style="56"/>
    <col min="3067" max="3070" width="1.75" style="56" customWidth="1"/>
    <col min="3071" max="3071" width="21.5" style="56" customWidth="1"/>
    <col min="3072" max="3102" width="9.75" style="56" customWidth="1"/>
    <col min="3103" max="3322" width="9" style="56"/>
    <col min="3323" max="3326" width="1.75" style="56" customWidth="1"/>
    <col min="3327" max="3327" width="21.5" style="56" customWidth="1"/>
    <col min="3328" max="3358" width="9.75" style="56" customWidth="1"/>
    <col min="3359" max="3578" width="9" style="56"/>
    <col min="3579" max="3582" width="1.75" style="56" customWidth="1"/>
    <col min="3583" max="3583" width="21.5" style="56" customWidth="1"/>
    <col min="3584" max="3614" width="9.75" style="56" customWidth="1"/>
    <col min="3615" max="3834" width="9" style="56"/>
    <col min="3835" max="3838" width="1.75" style="56" customWidth="1"/>
    <col min="3839" max="3839" width="21.5" style="56" customWidth="1"/>
    <col min="3840" max="3870" width="9.75" style="56" customWidth="1"/>
    <col min="3871" max="4090" width="9" style="56"/>
    <col min="4091" max="4094" width="1.75" style="56" customWidth="1"/>
    <col min="4095" max="4095" width="21.5" style="56" customWidth="1"/>
    <col min="4096" max="4126" width="9.75" style="56" customWidth="1"/>
    <col min="4127" max="4346" width="9" style="56"/>
    <col min="4347" max="4350" width="1.75" style="56" customWidth="1"/>
    <col min="4351" max="4351" width="21.5" style="56" customWidth="1"/>
    <col min="4352" max="4382" width="9.75" style="56" customWidth="1"/>
    <col min="4383" max="4602" width="9" style="56"/>
    <col min="4603" max="4606" width="1.75" style="56" customWidth="1"/>
    <col min="4607" max="4607" width="21.5" style="56" customWidth="1"/>
    <col min="4608" max="4638" width="9.75" style="56" customWidth="1"/>
    <col min="4639" max="4858" width="9" style="56"/>
    <col min="4859" max="4862" width="1.75" style="56" customWidth="1"/>
    <col min="4863" max="4863" width="21.5" style="56" customWidth="1"/>
    <col min="4864" max="4894" width="9.75" style="56" customWidth="1"/>
    <col min="4895" max="5114" width="9" style="56"/>
    <col min="5115" max="5118" width="1.75" style="56" customWidth="1"/>
    <col min="5119" max="5119" width="21.5" style="56" customWidth="1"/>
    <col min="5120" max="5150" width="9.75" style="56" customWidth="1"/>
    <col min="5151" max="5370" width="9" style="56"/>
    <col min="5371" max="5374" width="1.75" style="56" customWidth="1"/>
    <col min="5375" max="5375" width="21.5" style="56" customWidth="1"/>
    <col min="5376" max="5406" width="9.75" style="56" customWidth="1"/>
    <col min="5407" max="5626" width="9" style="56"/>
    <col min="5627" max="5630" width="1.75" style="56" customWidth="1"/>
    <col min="5631" max="5631" width="21.5" style="56" customWidth="1"/>
    <col min="5632" max="5662" width="9.75" style="56" customWidth="1"/>
    <col min="5663" max="5882" width="9" style="56"/>
    <col min="5883" max="5886" width="1.75" style="56" customWidth="1"/>
    <col min="5887" max="5887" width="21.5" style="56" customWidth="1"/>
    <col min="5888" max="5918" width="9.75" style="56" customWidth="1"/>
    <col min="5919" max="6138" width="9" style="56"/>
    <col min="6139" max="6142" width="1.75" style="56" customWidth="1"/>
    <col min="6143" max="6143" width="21.5" style="56" customWidth="1"/>
    <col min="6144" max="6174" width="9.75" style="56" customWidth="1"/>
    <col min="6175" max="6394" width="9" style="56"/>
    <col min="6395" max="6398" width="1.75" style="56" customWidth="1"/>
    <col min="6399" max="6399" width="21.5" style="56" customWidth="1"/>
    <col min="6400" max="6430" width="9.75" style="56" customWidth="1"/>
    <col min="6431" max="6650" width="9" style="56"/>
    <col min="6651" max="6654" width="1.75" style="56" customWidth="1"/>
    <col min="6655" max="6655" width="21.5" style="56" customWidth="1"/>
    <col min="6656" max="6686" width="9.75" style="56" customWidth="1"/>
    <col min="6687" max="6906" width="9" style="56"/>
    <col min="6907" max="6910" width="1.75" style="56" customWidth="1"/>
    <col min="6911" max="6911" width="21.5" style="56" customWidth="1"/>
    <col min="6912" max="6942" width="9.75" style="56" customWidth="1"/>
    <col min="6943" max="7162" width="9" style="56"/>
    <col min="7163" max="7166" width="1.75" style="56" customWidth="1"/>
    <col min="7167" max="7167" width="21.5" style="56" customWidth="1"/>
    <col min="7168" max="7198" width="9.75" style="56" customWidth="1"/>
    <col min="7199" max="7418" width="9" style="56"/>
    <col min="7419" max="7422" width="1.75" style="56" customWidth="1"/>
    <col min="7423" max="7423" width="21.5" style="56" customWidth="1"/>
    <col min="7424" max="7454" width="9.75" style="56" customWidth="1"/>
    <col min="7455" max="7674" width="9" style="56"/>
    <col min="7675" max="7678" width="1.75" style="56" customWidth="1"/>
    <col min="7679" max="7679" width="21.5" style="56" customWidth="1"/>
    <col min="7680" max="7710" width="9.75" style="56" customWidth="1"/>
    <col min="7711" max="7930" width="9" style="56"/>
    <col min="7931" max="7934" width="1.75" style="56" customWidth="1"/>
    <col min="7935" max="7935" width="21.5" style="56" customWidth="1"/>
    <col min="7936" max="7966" width="9.75" style="56" customWidth="1"/>
    <col min="7967" max="8186" width="9" style="56"/>
    <col min="8187" max="8190" width="1.75" style="56" customWidth="1"/>
    <col min="8191" max="8191" width="21.5" style="56" customWidth="1"/>
    <col min="8192" max="8222" width="9.75" style="56" customWidth="1"/>
    <col min="8223" max="8442" width="9" style="56"/>
    <col min="8443" max="8446" width="1.75" style="56" customWidth="1"/>
    <col min="8447" max="8447" width="21.5" style="56" customWidth="1"/>
    <col min="8448" max="8478" width="9.75" style="56" customWidth="1"/>
    <col min="8479" max="8698" width="9" style="56"/>
    <col min="8699" max="8702" width="1.75" style="56" customWidth="1"/>
    <col min="8703" max="8703" width="21.5" style="56" customWidth="1"/>
    <col min="8704" max="8734" width="9.75" style="56" customWidth="1"/>
    <col min="8735" max="8954" width="9" style="56"/>
    <col min="8955" max="8958" width="1.75" style="56" customWidth="1"/>
    <col min="8959" max="8959" width="21.5" style="56" customWidth="1"/>
    <col min="8960" max="8990" width="9.75" style="56" customWidth="1"/>
    <col min="8991" max="9210" width="9" style="56"/>
    <col min="9211" max="9214" width="1.75" style="56" customWidth="1"/>
    <col min="9215" max="9215" width="21.5" style="56" customWidth="1"/>
    <col min="9216" max="9246" width="9.75" style="56" customWidth="1"/>
    <col min="9247" max="9466" width="9" style="56"/>
    <col min="9467" max="9470" width="1.75" style="56" customWidth="1"/>
    <col min="9471" max="9471" width="21.5" style="56" customWidth="1"/>
    <col min="9472" max="9502" width="9.75" style="56" customWidth="1"/>
    <col min="9503" max="9722" width="9" style="56"/>
    <col min="9723" max="9726" width="1.75" style="56" customWidth="1"/>
    <col min="9727" max="9727" width="21.5" style="56" customWidth="1"/>
    <col min="9728" max="9758" width="9.75" style="56" customWidth="1"/>
    <col min="9759" max="9978" width="9" style="56"/>
    <col min="9979" max="9982" width="1.75" style="56" customWidth="1"/>
    <col min="9983" max="9983" width="21.5" style="56" customWidth="1"/>
    <col min="9984" max="10014" width="9.75" style="56" customWidth="1"/>
    <col min="10015" max="10234" width="9" style="56"/>
    <col min="10235" max="10238" width="1.75" style="56" customWidth="1"/>
    <col min="10239" max="10239" width="21.5" style="56" customWidth="1"/>
    <col min="10240" max="10270" width="9.75" style="56" customWidth="1"/>
    <col min="10271" max="10490" width="9" style="56"/>
    <col min="10491" max="10494" width="1.75" style="56" customWidth="1"/>
    <col min="10495" max="10495" width="21.5" style="56" customWidth="1"/>
    <col min="10496" max="10526" width="9.75" style="56" customWidth="1"/>
    <col min="10527" max="10746" width="9" style="56"/>
    <col min="10747" max="10750" width="1.75" style="56" customWidth="1"/>
    <col min="10751" max="10751" width="21.5" style="56" customWidth="1"/>
    <col min="10752" max="10782" width="9.75" style="56" customWidth="1"/>
    <col min="10783" max="11002" width="9" style="56"/>
    <col min="11003" max="11006" width="1.75" style="56" customWidth="1"/>
    <col min="11007" max="11007" width="21.5" style="56" customWidth="1"/>
    <col min="11008" max="11038" width="9.75" style="56" customWidth="1"/>
    <col min="11039" max="11258" width="9" style="56"/>
    <col min="11259" max="11262" width="1.75" style="56" customWidth="1"/>
    <col min="11263" max="11263" width="21.5" style="56" customWidth="1"/>
    <col min="11264" max="11294" width="9.75" style="56" customWidth="1"/>
    <col min="11295" max="11514" width="9" style="56"/>
    <col min="11515" max="11518" width="1.75" style="56" customWidth="1"/>
    <col min="11519" max="11519" width="21.5" style="56" customWidth="1"/>
    <col min="11520" max="11550" width="9.75" style="56" customWidth="1"/>
    <col min="11551" max="11770" width="9" style="56"/>
    <col min="11771" max="11774" width="1.75" style="56" customWidth="1"/>
    <col min="11775" max="11775" width="21.5" style="56" customWidth="1"/>
    <col min="11776" max="11806" width="9.75" style="56" customWidth="1"/>
    <col min="11807" max="12026" width="9" style="56"/>
    <col min="12027" max="12030" width="1.75" style="56" customWidth="1"/>
    <col min="12031" max="12031" width="21.5" style="56" customWidth="1"/>
    <col min="12032" max="12062" width="9.75" style="56" customWidth="1"/>
    <col min="12063" max="12282" width="9" style="56"/>
    <col min="12283" max="12286" width="1.75" style="56" customWidth="1"/>
    <col min="12287" max="12287" width="21.5" style="56" customWidth="1"/>
    <col min="12288" max="12318" width="9.75" style="56" customWidth="1"/>
    <col min="12319" max="12538" width="9" style="56"/>
    <col min="12539" max="12542" width="1.75" style="56" customWidth="1"/>
    <col min="12543" max="12543" width="21.5" style="56" customWidth="1"/>
    <col min="12544" max="12574" width="9.75" style="56" customWidth="1"/>
    <col min="12575" max="12794" width="9" style="56"/>
    <col min="12795" max="12798" width="1.75" style="56" customWidth="1"/>
    <col min="12799" max="12799" width="21.5" style="56" customWidth="1"/>
    <col min="12800" max="12830" width="9.75" style="56" customWidth="1"/>
    <col min="12831" max="13050" width="9" style="56"/>
    <col min="13051" max="13054" width="1.75" style="56" customWidth="1"/>
    <col min="13055" max="13055" width="21.5" style="56" customWidth="1"/>
    <col min="13056" max="13086" width="9.75" style="56" customWidth="1"/>
    <col min="13087" max="13306" width="9" style="56"/>
    <col min="13307" max="13310" width="1.75" style="56" customWidth="1"/>
    <col min="13311" max="13311" width="21.5" style="56" customWidth="1"/>
    <col min="13312" max="13342" width="9.75" style="56" customWidth="1"/>
    <col min="13343" max="13562" width="9" style="56"/>
    <col min="13563" max="13566" width="1.75" style="56" customWidth="1"/>
    <col min="13567" max="13567" width="21.5" style="56" customWidth="1"/>
    <col min="13568" max="13598" width="9.75" style="56" customWidth="1"/>
    <col min="13599" max="13818" width="9" style="56"/>
    <col min="13819" max="13822" width="1.75" style="56" customWidth="1"/>
    <col min="13823" max="13823" width="21.5" style="56" customWidth="1"/>
    <col min="13824" max="13854" width="9.75" style="56" customWidth="1"/>
    <col min="13855" max="14074" width="9" style="56"/>
    <col min="14075" max="14078" width="1.75" style="56" customWidth="1"/>
    <col min="14079" max="14079" width="21.5" style="56" customWidth="1"/>
    <col min="14080" max="14110" width="9.75" style="56" customWidth="1"/>
    <col min="14111" max="14330" width="9" style="56"/>
    <col min="14331" max="14334" width="1.75" style="56" customWidth="1"/>
    <col min="14335" max="14335" width="21.5" style="56" customWidth="1"/>
    <col min="14336" max="14366" width="9.75" style="56" customWidth="1"/>
    <col min="14367" max="14586" width="9" style="56"/>
    <col min="14587" max="14590" width="1.75" style="56" customWidth="1"/>
    <col min="14591" max="14591" width="21.5" style="56" customWidth="1"/>
    <col min="14592" max="14622" width="9.75" style="56" customWidth="1"/>
    <col min="14623" max="14842" width="9" style="56"/>
    <col min="14843" max="14846" width="1.75" style="56" customWidth="1"/>
    <col min="14847" max="14847" width="21.5" style="56" customWidth="1"/>
    <col min="14848" max="14878" width="9.75" style="56" customWidth="1"/>
    <col min="14879" max="15098" width="9" style="56"/>
    <col min="15099" max="15102" width="1.75" style="56" customWidth="1"/>
    <col min="15103" max="15103" width="21.5" style="56" customWidth="1"/>
    <col min="15104" max="15134" width="9.75" style="56" customWidth="1"/>
    <col min="15135" max="15354" width="9" style="56"/>
    <col min="15355" max="15358" width="1.75" style="56" customWidth="1"/>
    <col min="15359" max="15359" width="21.5" style="56" customWidth="1"/>
    <col min="15360" max="15390" width="9.75" style="56" customWidth="1"/>
    <col min="15391" max="15610" width="9" style="56"/>
    <col min="15611" max="15614" width="1.75" style="56" customWidth="1"/>
    <col min="15615" max="15615" width="21.5" style="56" customWidth="1"/>
    <col min="15616" max="15646" width="9.75" style="56" customWidth="1"/>
    <col min="15647" max="15866" width="9" style="56"/>
    <col min="15867" max="15870" width="1.75" style="56" customWidth="1"/>
    <col min="15871" max="15871" width="21.5" style="56" customWidth="1"/>
    <col min="15872" max="15902" width="9.75" style="56" customWidth="1"/>
    <col min="15903" max="16122" width="9" style="56"/>
    <col min="16123" max="16126" width="1.75" style="56" customWidth="1"/>
    <col min="16127" max="16127" width="21.5" style="56" customWidth="1"/>
    <col min="16128" max="16158" width="9.75" style="56" customWidth="1"/>
    <col min="16159" max="16384" width="9" style="56"/>
  </cols>
  <sheetData>
    <row r="1" spans="1:30" s="54" customFormat="1" ht="13.15" customHeight="1" x14ac:dyDescent="0.15">
      <c r="A1" s="53"/>
      <c r="B1" s="53"/>
      <c r="C1" s="53"/>
      <c r="D1" s="53"/>
      <c r="E1" s="53"/>
      <c r="F1" s="53"/>
      <c r="N1" s="56"/>
      <c r="AA1" s="212"/>
      <c r="AB1" s="212"/>
      <c r="AC1" s="212"/>
      <c r="AD1" s="212"/>
    </row>
    <row r="2" spans="1:30" s="54" customFormat="1" ht="13.15" customHeight="1" x14ac:dyDescent="0.15">
      <c r="N2" s="56"/>
      <c r="AA2" s="212"/>
      <c r="AB2" s="212"/>
      <c r="AC2" s="212"/>
      <c r="AD2" s="212"/>
    </row>
    <row r="3" spans="1:30" s="54" customFormat="1" ht="13.15" customHeight="1" x14ac:dyDescent="0.15">
      <c r="A3" s="55" t="s">
        <v>188</v>
      </c>
      <c r="B3" s="55"/>
      <c r="C3" s="55"/>
      <c r="D3" s="55"/>
      <c r="E3" s="55"/>
      <c r="F3" s="55"/>
      <c r="N3" s="56"/>
      <c r="AA3" s="212"/>
      <c r="AB3" s="212"/>
      <c r="AC3" s="212"/>
      <c r="AD3" s="212"/>
    </row>
    <row r="4" spans="1:30" s="54" customFormat="1" x14ac:dyDescent="0.15">
      <c r="N4" s="56"/>
    </row>
    <row r="5" spans="1:30" ht="14.25" thickBot="1" x14ac:dyDescent="0.2">
      <c r="A5" s="56" t="s">
        <v>189</v>
      </c>
    </row>
    <row r="6" spans="1:30" x14ac:dyDescent="0.15">
      <c r="A6" s="168" t="s">
        <v>0</v>
      </c>
      <c r="B6" s="169"/>
      <c r="C6" s="169"/>
      <c r="D6" s="169"/>
      <c r="E6" s="169"/>
      <c r="F6" s="15"/>
      <c r="G6" s="174" t="s">
        <v>63</v>
      </c>
      <c r="H6" s="175"/>
      <c r="I6" s="175"/>
      <c r="J6" s="175"/>
      <c r="K6" s="176"/>
      <c r="L6" s="175" t="s">
        <v>64</v>
      </c>
      <c r="M6" s="175"/>
      <c r="N6" s="175"/>
      <c r="O6" s="175"/>
      <c r="P6" s="175"/>
      <c r="Q6" s="175"/>
      <c r="R6" s="175"/>
      <c r="S6" s="175"/>
      <c r="T6" s="175"/>
      <c r="U6" s="176"/>
      <c r="V6" s="175" t="s">
        <v>65</v>
      </c>
      <c r="W6" s="175"/>
      <c r="X6" s="175"/>
      <c r="Y6" s="175"/>
      <c r="Z6" s="175"/>
      <c r="AA6" s="175"/>
      <c r="AB6" s="175"/>
      <c r="AC6" s="175"/>
      <c r="AD6" s="177"/>
    </row>
    <row r="7" spans="1:30" s="57" customFormat="1" ht="13.5" customHeight="1" x14ac:dyDescent="0.15">
      <c r="A7" s="170"/>
      <c r="B7" s="171"/>
      <c r="C7" s="171"/>
      <c r="D7" s="171"/>
      <c r="E7" s="171"/>
      <c r="F7" s="16"/>
      <c r="G7" s="178" t="s">
        <v>129</v>
      </c>
      <c r="H7" s="181"/>
      <c r="I7" s="184" t="s">
        <v>130</v>
      </c>
      <c r="J7" s="187" t="s">
        <v>131</v>
      </c>
      <c r="K7" s="190" t="s">
        <v>68</v>
      </c>
      <c r="L7" s="198" t="s">
        <v>172</v>
      </c>
      <c r="M7" s="198"/>
      <c r="N7" s="198"/>
      <c r="O7" s="198"/>
      <c r="P7" s="198"/>
      <c r="Q7" s="198"/>
      <c r="R7" s="187" t="s">
        <v>130</v>
      </c>
      <c r="S7" s="178" t="s">
        <v>194</v>
      </c>
      <c r="T7" s="204" t="s">
        <v>133</v>
      </c>
      <c r="U7" s="190" t="s">
        <v>68</v>
      </c>
      <c r="V7" s="68" t="s">
        <v>181</v>
      </c>
      <c r="W7" s="68" t="s">
        <v>69</v>
      </c>
      <c r="X7" s="209" t="s">
        <v>70</v>
      </c>
      <c r="Y7" s="210"/>
      <c r="Z7" s="211"/>
      <c r="AA7" s="187" t="s">
        <v>130</v>
      </c>
      <c r="AB7" s="178" t="s">
        <v>132</v>
      </c>
      <c r="AC7" s="204" t="s">
        <v>133</v>
      </c>
      <c r="AD7" s="195" t="s">
        <v>68</v>
      </c>
    </row>
    <row r="8" spans="1:30" s="57" customFormat="1" ht="13.5" customHeight="1" x14ac:dyDescent="0.15">
      <c r="A8" s="170"/>
      <c r="B8" s="171"/>
      <c r="C8" s="171"/>
      <c r="D8" s="171"/>
      <c r="E8" s="171"/>
      <c r="F8" s="16"/>
      <c r="G8" s="179"/>
      <c r="H8" s="182"/>
      <c r="I8" s="185"/>
      <c r="J8" s="188"/>
      <c r="K8" s="191"/>
      <c r="L8" s="198" t="s">
        <v>71</v>
      </c>
      <c r="M8" s="199"/>
      <c r="N8" s="198" t="s">
        <v>2</v>
      </c>
      <c r="O8" s="198"/>
      <c r="P8" s="198"/>
      <c r="Q8" s="198"/>
      <c r="R8" s="188"/>
      <c r="S8" s="202"/>
      <c r="T8" s="205"/>
      <c r="U8" s="191"/>
      <c r="V8" s="200" t="s">
        <v>182</v>
      </c>
      <c r="W8" s="178" t="s">
        <v>183</v>
      </c>
      <c r="X8" s="178" t="s">
        <v>184</v>
      </c>
      <c r="Y8" s="213" t="s">
        <v>185</v>
      </c>
      <c r="Z8" s="193" t="s">
        <v>58</v>
      </c>
      <c r="AA8" s="188"/>
      <c r="AB8" s="202"/>
      <c r="AC8" s="205"/>
      <c r="AD8" s="196"/>
    </row>
    <row r="9" spans="1:30" s="57" customFormat="1" ht="27" x14ac:dyDescent="0.15">
      <c r="A9" s="172"/>
      <c r="B9" s="173"/>
      <c r="C9" s="173"/>
      <c r="D9" s="173"/>
      <c r="E9" s="173"/>
      <c r="F9" s="17"/>
      <c r="G9" s="180"/>
      <c r="H9" s="183"/>
      <c r="I9" s="186"/>
      <c r="J9" s="189"/>
      <c r="K9" s="192"/>
      <c r="L9" s="73" t="s">
        <v>186</v>
      </c>
      <c r="M9" s="18" t="s">
        <v>173</v>
      </c>
      <c r="N9" s="67" t="s">
        <v>175</v>
      </c>
      <c r="O9" s="19" t="s">
        <v>176</v>
      </c>
      <c r="P9" s="20" t="s">
        <v>187</v>
      </c>
      <c r="Q9" s="20" t="s">
        <v>180</v>
      </c>
      <c r="R9" s="189"/>
      <c r="S9" s="203"/>
      <c r="T9" s="206"/>
      <c r="U9" s="192"/>
      <c r="V9" s="201"/>
      <c r="W9" s="203"/>
      <c r="X9" s="203"/>
      <c r="Y9" s="214"/>
      <c r="Z9" s="194"/>
      <c r="AA9" s="189"/>
      <c r="AB9" s="203"/>
      <c r="AC9" s="206"/>
      <c r="AD9" s="197"/>
    </row>
    <row r="10" spans="1:30" x14ac:dyDescent="0.15">
      <c r="A10" s="21" t="s">
        <v>7</v>
      </c>
      <c r="B10" s="14"/>
      <c r="C10" s="14"/>
      <c r="D10" s="14"/>
      <c r="E10" s="14"/>
      <c r="F10" s="14"/>
      <c r="G10" s="92">
        <f>206431719+190506</f>
        <v>206622225</v>
      </c>
      <c r="H10" s="7"/>
      <c r="I10" s="92">
        <f>206431719+190506</f>
        <v>206622225</v>
      </c>
      <c r="J10" s="100"/>
      <c r="K10" s="111">
        <f>I10+J10</f>
        <v>206622225</v>
      </c>
      <c r="L10" s="61">
        <f>L11+L56</f>
        <v>77116226.084000006</v>
      </c>
      <c r="M10" s="76">
        <v>16371645</v>
      </c>
      <c r="N10" s="61">
        <v>1728315</v>
      </c>
      <c r="O10" s="70">
        <v>23548</v>
      </c>
      <c r="P10" s="85">
        <v>1598830</v>
      </c>
      <c r="Q10" s="85">
        <v>10032</v>
      </c>
      <c r="R10" s="99">
        <f>SUM(L10:Q10)</f>
        <v>96848596.084000006</v>
      </c>
      <c r="S10" s="8">
        <v>-1</v>
      </c>
      <c r="T10" s="107">
        <f>-18895-6017690</f>
        <v>-6036585</v>
      </c>
      <c r="U10" s="112">
        <f>K10+R10+T10+S10</f>
        <v>297434235.08399999</v>
      </c>
      <c r="V10" s="124">
        <v>1293077</v>
      </c>
      <c r="W10" s="92">
        <v>778553</v>
      </c>
      <c r="X10" s="92">
        <v>588727</v>
      </c>
      <c r="Y10" s="70">
        <v>293190</v>
      </c>
      <c r="Z10" s="76">
        <f>SUM(X10:Y10)</f>
        <v>881917</v>
      </c>
      <c r="AA10" s="103">
        <f>V10+W10+Z10</f>
        <v>2953547</v>
      </c>
      <c r="AB10" s="124"/>
      <c r="AC10" s="125">
        <f>-308000-2698</f>
        <v>-310698</v>
      </c>
      <c r="AD10" s="126">
        <f>U10+AA10+AB10+AC10</f>
        <v>300077084.08399999</v>
      </c>
    </row>
    <row r="11" spans="1:30" x14ac:dyDescent="0.15">
      <c r="A11" s="24"/>
      <c r="B11" s="3" t="s">
        <v>1</v>
      </c>
      <c r="C11" s="3"/>
      <c r="D11" s="3"/>
      <c r="E11" s="3"/>
      <c r="F11" s="3"/>
      <c r="G11" s="93">
        <v>199093359.167</v>
      </c>
      <c r="H11" s="9"/>
      <c r="I11" s="93">
        <v>199093359.167</v>
      </c>
      <c r="J11" s="100"/>
      <c r="K11" s="112">
        <f t="shared" ref="K11:K74" si="0">I11+J11</f>
        <v>199093359.167</v>
      </c>
      <c r="L11" s="59">
        <f>L12+L40+L43</f>
        <v>74937939.862000003</v>
      </c>
      <c r="M11" s="77">
        <f t="shared" ref="M11:P11" si="1">M12+M40+M43</f>
        <v>11177523</v>
      </c>
      <c r="N11" s="59">
        <f t="shared" si="1"/>
        <v>853510</v>
      </c>
      <c r="O11" s="69">
        <f t="shared" si="1"/>
        <v>6022</v>
      </c>
      <c r="P11" s="81">
        <f t="shared" si="1"/>
        <v>1158446</v>
      </c>
      <c r="Q11" s="81">
        <f>Q12+Q40+Q43</f>
        <v>10032</v>
      </c>
      <c r="R11" s="100">
        <f t="shared" ref="R11:R74" si="2">SUM(L11:Q11)</f>
        <v>88143472.862000003</v>
      </c>
      <c r="S11" s="8"/>
      <c r="T11" s="107">
        <f>-6017690</f>
        <v>-6017690</v>
      </c>
      <c r="U11" s="112">
        <f t="shared" ref="U11:U74" si="3">K11+R11+T11</f>
        <v>281219142.02899998</v>
      </c>
      <c r="V11" s="127">
        <v>156823</v>
      </c>
      <c r="W11" s="93">
        <v>762932</v>
      </c>
      <c r="X11" s="93">
        <v>358289</v>
      </c>
      <c r="Y11" s="69">
        <v>42428</v>
      </c>
      <c r="Z11" s="77">
        <f t="shared" ref="Z11:Z74" si="4">SUM(X11:Y11)</f>
        <v>400717</v>
      </c>
      <c r="AA11" s="100">
        <f t="shared" ref="AA11:AA74" si="5">V11+W11+Z11</f>
        <v>1320472</v>
      </c>
      <c r="AB11" s="127"/>
      <c r="AC11" s="77">
        <f>-308000</f>
        <v>-308000</v>
      </c>
      <c r="AD11" s="128">
        <f>U11+AA11+AB11+AC11</f>
        <v>282231614.02899998</v>
      </c>
    </row>
    <row r="12" spans="1:30" x14ac:dyDescent="0.15">
      <c r="A12" s="24"/>
      <c r="B12" s="3"/>
      <c r="C12" s="3" t="s">
        <v>134</v>
      </c>
      <c r="D12" s="3"/>
      <c r="E12" s="3"/>
      <c r="F12" s="3"/>
      <c r="G12" s="93">
        <v>190791564.167</v>
      </c>
      <c r="H12" s="9"/>
      <c r="I12" s="93">
        <v>190791564.167</v>
      </c>
      <c r="J12" s="13"/>
      <c r="K12" s="112">
        <f t="shared" si="0"/>
        <v>190791564.167</v>
      </c>
      <c r="L12" s="59">
        <f>L13+L29+L38+L39</f>
        <v>72418645.862000003</v>
      </c>
      <c r="M12" s="77">
        <v>10369523</v>
      </c>
      <c r="N12" s="59"/>
      <c r="O12" s="69"/>
      <c r="P12" s="81"/>
      <c r="Q12" s="81">
        <v>10032</v>
      </c>
      <c r="R12" s="100">
        <f t="shared" si="2"/>
        <v>82798200.862000003</v>
      </c>
      <c r="S12" s="8"/>
      <c r="T12" s="25"/>
      <c r="U12" s="112">
        <f t="shared" si="3"/>
        <v>273589765.02899998</v>
      </c>
      <c r="V12" s="127">
        <v>0</v>
      </c>
      <c r="W12" s="93">
        <v>757932</v>
      </c>
      <c r="X12" s="93">
        <v>1706</v>
      </c>
      <c r="Y12" s="69">
        <v>19789</v>
      </c>
      <c r="Z12" s="77">
        <f t="shared" si="4"/>
        <v>21495</v>
      </c>
      <c r="AA12" s="100">
        <f t="shared" si="5"/>
        <v>779427</v>
      </c>
      <c r="AB12" s="127"/>
      <c r="AC12" s="77"/>
      <c r="AD12" s="128">
        <f t="shared" ref="AD12:AD74" si="6">U12+AA12+AB12+AC12</f>
        <v>274369192.02899998</v>
      </c>
    </row>
    <row r="13" spans="1:30" x14ac:dyDescent="0.15">
      <c r="A13" s="24"/>
      <c r="B13" s="3"/>
      <c r="C13" s="3"/>
      <c r="D13" s="3" t="s">
        <v>135</v>
      </c>
      <c r="E13" s="3"/>
      <c r="F13" s="3"/>
      <c r="G13" s="93">
        <v>141892177.757</v>
      </c>
      <c r="H13" s="9"/>
      <c r="I13" s="93">
        <v>141892177.757</v>
      </c>
      <c r="J13" s="13"/>
      <c r="K13" s="112">
        <f t="shared" si="0"/>
        <v>141892177.757</v>
      </c>
      <c r="L13" s="59"/>
      <c r="M13" s="77">
        <v>8394802</v>
      </c>
      <c r="N13" s="59"/>
      <c r="O13" s="69"/>
      <c r="P13" s="81"/>
      <c r="Q13" s="81">
        <v>10032</v>
      </c>
      <c r="R13" s="100">
        <f t="shared" si="2"/>
        <v>8404834</v>
      </c>
      <c r="S13" s="8"/>
      <c r="T13" s="25"/>
      <c r="U13" s="112">
        <f>K13+R13+T13</f>
        <v>150297011.757</v>
      </c>
      <c r="V13" s="127">
        <v>0</v>
      </c>
      <c r="W13" s="93">
        <v>757932</v>
      </c>
      <c r="X13" s="93"/>
      <c r="Y13" s="69">
        <v>10388</v>
      </c>
      <c r="Z13" s="77">
        <f t="shared" si="4"/>
        <v>10388</v>
      </c>
      <c r="AA13" s="100">
        <f t="shared" si="5"/>
        <v>768320</v>
      </c>
      <c r="AB13" s="127"/>
      <c r="AC13" s="77"/>
      <c r="AD13" s="128">
        <f t="shared" si="6"/>
        <v>151065331.757</v>
      </c>
    </row>
    <row r="14" spans="1:30" x14ac:dyDescent="0.15">
      <c r="A14" s="24"/>
      <c r="B14" s="3"/>
      <c r="C14" s="3"/>
      <c r="D14" s="3"/>
      <c r="E14" s="3" t="s">
        <v>136</v>
      </c>
      <c r="F14" s="3"/>
      <c r="G14" s="93">
        <v>100937777</v>
      </c>
      <c r="H14" s="9"/>
      <c r="I14" s="93">
        <v>100937777</v>
      </c>
      <c r="J14" s="13"/>
      <c r="K14" s="112">
        <f t="shared" si="0"/>
        <v>100937777</v>
      </c>
      <c r="L14" s="59"/>
      <c r="M14" s="77">
        <v>336264</v>
      </c>
      <c r="N14" s="59"/>
      <c r="O14" s="69"/>
      <c r="P14" s="81"/>
      <c r="Q14" s="81"/>
      <c r="R14" s="100">
        <f t="shared" si="2"/>
        <v>336264</v>
      </c>
      <c r="S14" s="8"/>
      <c r="T14" s="25"/>
      <c r="U14" s="112">
        <f t="shared" si="3"/>
        <v>101274041</v>
      </c>
      <c r="V14" s="127"/>
      <c r="W14" s="93">
        <v>757932</v>
      </c>
      <c r="X14" s="93"/>
      <c r="Y14" s="69"/>
      <c r="Z14" s="77">
        <f t="shared" si="4"/>
        <v>0</v>
      </c>
      <c r="AA14" s="100">
        <f t="shared" si="5"/>
        <v>757932</v>
      </c>
      <c r="AB14" s="127"/>
      <c r="AC14" s="77"/>
      <c r="AD14" s="128">
        <f t="shared" si="6"/>
        <v>102031973</v>
      </c>
    </row>
    <row r="15" spans="1:30" x14ac:dyDescent="0.15">
      <c r="A15" s="21"/>
      <c r="B15" s="14"/>
      <c r="C15" s="14"/>
      <c r="D15" s="14"/>
      <c r="E15" s="14" t="s">
        <v>137</v>
      </c>
      <c r="F15" s="14"/>
      <c r="G15" s="93">
        <v>0</v>
      </c>
      <c r="H15" s="9"/>
      <c r="I15" s="93">
        <v>0</v>
      </c>
      <c r="J15" s="13"/>
      <c r="K15" s="112">
        <f t="shared" si="0"/>
        <v>0</v>
      </c>
      <c r="L15" s="59"/>
      <c r="M15" s="77"/>
      <c r="N15" s="59"/>
      <c r="O15" s="69"/>
      <c r="P15" s="81"/>
      <c r="Q15" s="81"/>
      <c r="R15" s="100">
        <f t="shared" si="2"/>
        <v>0</v>
      </c>
      <c r="S15" s="8"/>
      <c r="T15" s="25"/>
      <c r="U15" s="112">
        <f t="shared" si="3"/>
        <v>0</v>
      </c>
      <c r="V15" s="127"/>
      <c r="W15" s="93"/>
      <c r="X15" s="93"/>
      <c r="Y15" s="69"/>
      <c r="Z15" s="77">
        <f t="shared" si="4"/>
        <v>0</v>
      </c>
      <c r="AA15" s="100">
        <f t="shared" si="5"/>
        <v>0</v>
      </c>
      <c r="AB15" s="127"/>
      <c r="AC15" s="77"/>
      <c r="AD15" s="128">
        <f t="shared" si="6"/>
        <v>0</v>
      </c>
    </row>
    <row r="16" spans="1:30" x14ac:dyDescent="0.15">
      <c r="A16" s="24"/>
      <c r="B16" s="3"/>
      <c r="C16" s="3"/>
      <c r="D16" s="3"/>
      <c r="E16" s="3" t="s">
        <v>138</v>
      </c>
      <c r="F16" s="3"/>
      <c r="G16" s="93">
        <v>97641847</v>
      </c>
      <c r="H16" s="9"/>
      <c r="I16" s="93">
        <v>97641847</v>
      </c>
      <c r="J16" s="13"/>
      <c r="K16" s="112">
        <f t="shared" si="0"/>
        <v>97641847</v>
      </c>
      <c r="L16" s="59"/>
      <c r="M16" s="77">
        <v>17004036</v>
      </c>
      <c r="N16" s="59"/>
      <c r="O16" s="69"/>
      <c r="P16" s="81"/>
      <c r="Q16" s="81"/>
      <c r="R16" s="100">
        <f t="shared" si="2"/>
        <v>17004036</v>
      </c>
      <c r="S16" s="8"/>
      <c r="T16" s="25"/>
      <c r="U16" s="112">
        <f t="shared" si="3"/>
        <v>114645883</v>
      </c>
      <c r="V16" s="127"/>
      <c r="W16" s="93"/>
      <c r="X16" s="93"/>
      <c r="Y16" s="69">
        <v>10388</v>
      </c>
      <c r="Z16" s="77">
        <f t="shared" si="4"/>
        <v>10388</v>
      </c>
      <c r="AA16" s="100">
        <f t="shared" si="5"/>
        <v>10388</v>
      </c>
      <c r="AB16" s="127"/>
      <c r="AC16" s="77"/>
      <c r="AD16" s="128">
        <f t="shared" si="6"/>
        <v>114656271</v>
      </c>
    </row>
    <row r="17" spans="1:30" x14ac:dyDescent="0.15">
      <c r="A17" s="21"/>
      <c r="B17" s="14"/>
      <c r="C17" s="14"/>
      <c r="D17" s="14"/>
      <c r="E17" s="14" t="s">
        <v>139</v>
      </c>
      <c r="F17" s="14"/>
      <c r="G17" s="93">
        <v>-59290421.398000002</v>
      </c>
      <c r="H17" s="9"/>
      <c r="I17" s="93">
        <v>-59290421.398000002</v>
      </c>
      <c r="J17" s="13"/>
      <c r="K17" s="112">
        <f t="shared" si="0"/>
        <v>-59290421.398000002</v>
      </c>
      <c r="L17" s="59"/>
      <c r="M17" s="77">
        <v>-9010245</v>
      </c>
      <c r="N17" s="59"/>
      <c r="O17" s="69"/>
      <c r="P17" s="81"/>
      <c r="Q17" s="81"/>
      <c r="R17" s="100">
        <f t="shared" si="2"/>
        <v>-9010245</v>
      </c>
      <c r="S17" s="8"/>
      <c r="T17" s="25"/>
      <c r="U17" s="112">
        <f t="shared" si="3"/>
        <v>-68300666.398000002</v>
      </c>
      <c r="V17" s="127"/>
      <c r="W17" s="93"/>
      <c r="X17" s="93"/>
      <c r="Y17" s="69">
        <v>0</v>
      </c>
      <c r="Z17" s="77">
        <f t="shared" si="4"/>
        <v>0</v>
      </c>
      <c r="AA17" s="100">
        <f t="shared" si="5"/>
        <v>0</v>
      </c>
      <c r="AB17" s="127"/>
      <c r="AC17" s="77"/>
      <c r="AD17" s="128">
        <f t="shared" si="6"/>
        <v>-68300666.398000002</v>
      </c>
    </row>
    <row r="18" spans="1:30" x14ac:dyDescent="0.15">
      <c r="A18" s="24"/>
      <c r="B18" s="3"/>
      <c r="C18" s="3"/>
      <c r="D18" s="3"/>
      <c r="E18" s="3" t="s">
        <v>140</v>
      </c>
      <c r="F18" s="3"/>
      <c r="G18" s="93">
        <v>5497077</v>
      </c>
      <c r="H18" s="9"/>
      <c r="I18" s="93">
        <v>5497077</v>
      </c>
      <c r="J18" s="13"/>
      <c r="K18" s="112">
        <f t="shared" si="0"/>
        <v>5497077</v>
      </c>
      <c r="L18" s="59"/>
      <c r="M18" s="77">
        <v>185240</v>
      </c>
      <c r="N18" s="59"/>
      <c r="O18" s="69"/>
      <c r="P18" s="81"/>
      <c r="Q18" s="81">
        <v>10032</v>
      </c>
      <c r="R18" s="100">
        <f t="shared" si="2"/>
        <v>195272</v>
      </c>
      <c r="S18" s="8"/>
      <c r="T18" s="25"/>
      <c r="U18" s="112">
        <f t="shared" si="3"/>
        <v>5692349</v>
      </c>
      <c r="V18" s="127"/>
      <c r="W18" s="93"/>
      <c r="X18" s="93"/>
      <c r="Y18" s="69"/>
      <c r="Z18" s="77">
        <f t="shared" si="4"/>
        <v>0</v>
      </c>
      <c r="AA18" s="100">
        <f t="shared" si="5"/>
        <v>0</v>
      </c>
      <c r="AB18" s="127"/>
      <c r="AC18" s="77"/>
      <c r="AD18" s="128">
        <f t="shared" si="6"/>
        <v>5692349</v>
      </c>
    </row>
    <row r="19" spans="1:30" x14ac:dyDescent="0.15">
      <c r="A19" s="21"/>
      <c r="B19" s="14"/>
      <c r="C19" s="14"/>
      <c r="D19" s="14"/>
      <c r="E19" s="14" t="s">
        <v>141</v>
      </c>
      <c r="F19" s="14"/>
      <c r="G19" s="93">
        <v>-4265551.8449999997</v>
      </c>
      <c r="H19" s="9"/>
      <c r="I19" s="93">
        <v>-4265551.8449999997</v>
      </c>
      <c r="J19" s="13"/>
      <c r="K19" s="112">
        <f t="shared" si="0"/>
        <v>-4265551.8449999997</v>
      </c>
      <c r="L19" s="59"/>
      <c r="M19" s="77">
        <v>-160702</v>
      </c>
      <c r="N19" s="59"/>
      <c r="O19" s="69"/>
      <c r="P19" s="81"/>
      <c r="Q19" s="81"/>
      <c r="R19" s="100">
        <f t="shared" si="2"/>
        <v>-160702</v>
      </c>
      <c r="S19" s="8"/>
      <c r="T19" s="25"/>
      <c r="U19" s="112">
        <f t="shared" si="3"/>
        <v>-4426253.8449999997</v>
      </c>
      <c r="V19" s="127"/>
      <c r="W19" s="93"/>
      <c r="X19" s="93"/>
      <c r="Y19" s="69"/>
      <c r="Z19" s="77">
        <f t="shared" si="4"/>
        <v>0</v>
      </c>
      <c r="AA19" s="100">
        <f t="shared" si="5"/>
        <v>0</v>
      </c>
      <c r="AB19" s="127"/>
      <c r="AC19" s="77"/>
      <c r="AD19" s="128">
        <f t="shared" si="6"/>
        <v>-4426253.8449999997</v>
      </c>
    </row>
    <row r="20" spans="1:30" x14ac:dyDescent="0.15">
      <c r="A20" s="24"/>
      <c r="B20" s="3"/>
      <c r="C20" s="3"/>
      <c r="D20" s="3"/>
      <c r="E20" s="3" t="s">
        <v>142</v>
      </c>
      <c r="F20" s="3"/>
      <c r="G20" s="93">
        <v>1980</v>
      </c>
      <c r="H20" s="9"/>
      <c r="I20" s="93">
        <v>1980</v>
      </c>
      <c r="J20" s="13"/>
      <c r="K20" s="112">
        <f t="shared" si="0"/>
        <v>1980</v>
      </c>
      <c r="L20" s="59"/>
      <c r="M20" s="77"/>
      <c r="N20" s="59"/>
      <c r="O20" s="69"/>
      <c r="P20" s="81"/>
      <c r="Q20" s="81"/>
      <c r="R20" s="100">
        <f t="shared" si="2"/>
        <v>0</v>
      </c>
      <c r="S20" s="8"/>
      <c r="T20" s="25"/>
      <c r="U20" s="112">
        <f t="shared" si="3"/>
        <v>1980</v>
      </c>
      <c r="V20" s="127"/>
      <c r="W20" s="93"/>
      <c r="X20" s="93"/>
      <c r="Y20" s="69"/>
      <c r="Z20" s="77">
        <f t="shared" si="4"/>
        <v>0</v>
      </c>
      <c r="AA20" s="100">
        <f t="shared" si="5"/>
        <v>0</v>
      </c>
      <c r="AB20" s="127"/>
      <c r="AC20" s="77"/>
      <c r="AD20" s="128">
        <f t="shared" si="6"/>
        <v>1980</v>
      </c>
    </row>
    <row r="21" spans="1:30" x14ac:dyDescent="0.15">
      <c r="A21" s="21"/>
      <c r="B21" s="14"/>
      <c r="C21" s="14"/>
      <c r="D21" s="14"/>
      <c r="E21" s="14" t="s">
        <v>143</v>
      </c>
      <c r="F21" s="14"/>
      <c r="G21" s="93">
        <v>-1188</v>
      </c>
      <c r="H21" s="9"/>
      <c r="I21" s="93">
        <v>-1188</v>
      </c>
      <c r="J21" s="13"/>
      <c r="K21" s="112">
        <f t="shared" si="0"/>
        <v>-1188</v>
      </c>
      <c r="L21" s="59"/>
      <c r="M21" s="77"/>
      <c r="N21" s="59"/>
      <c r="O21" s="69"/>
      <c r="P21" s="81"/>
      <c r="Q21" s="81"/>
      <c r="R21" s="100">
        <f t="shared" si="2"/>
        <v>0</v>
      </c>
      <c r="S21" s="8"/>
      <c r="T21" s="25"/>
      <c r="U21" s="112">
        <f t="shared" si="3"/>
        <v>-1188</v>
      </c>
      <c r="V21" s="127"/>
      <c r="W21" s="93"/>
      <c r="X21" s="93"/>
      <c r="Y21" s="69"/>
      <c r="Z21" s="77">
        <f t="shared" si="4"/>
        <v>0</v>
      </c>
      <c r="AA21" s="100">
        <f t="shared" si="5"/>
        <v>0</v>
      </c>
      <c r="AB21" s="127"/>
      <c r="AC21" s="77"/>
      <c r="AD21" s="128">
        <f t="shared" si="6"/>
        <v>-1188</v>
      </c>
    </row>
    <row r="22" spans="1:30" x14ac:dyDescent="0.15">
      <c r="A22" s="24"/>
      <c r="B22" s="3"/>
      <c r="C22" s="3"/>
      <c r="D22" s="3"/>
      <c r="E22" s="3" t="s">
        <v>144</v>
      </c>
      <c r="F22" s="3"/>
      <c r="G22" s="93">
        <v>0</v>
      </c>
      <c r="H22" s="9"/>
      <c r="I22" s="93">
        <v>0</v>
      </c>
      <c r="J22" s="13"/>
      <c r="K22" s="112">
        <f t="shared" si="0"/>
        <v>0</v>
      </c>
      <c r="L22" s="59"/>
      <c r="M22" s="77"/>
      <c r="N22" s="59"/>
      <c r="O22" s="69"/>
      <c r="P22" s="81"/>
      <c r="Q22" s="81"/>
      <c r="R22" s="100">
        <f t="shared" si="2"/>
        <v>0</v>
      </c>
      <c r="S22" s="8"/>
      <c r="T22" s="25"/>
      <c r="U22" s="112">
        <f t="shared" si="3"/>
        <v>0</v>
      </c>
      <c r="V22" s="127"/>
      <c r="W22" s="93"/>
      <c r="X22" s="93"/>
      <c r="Y22" s="69"/>
      <c r="Z22" s="77">
        <f t="shared" si="4"/>
        <v>0</v>
      </c>
      <c r="AA22" s="100">
        <f t="shared" si="5"/>
        <v>0</v>
      </c>
      <c r="AB22" s="127"/>
      <c r="AC22" s="77"/>
      <c r="AD22" s="128">
        <f t="shared" si="6"/>
        <v>0</v>
      </c>
    </row>
    <row r="23" spans="1:30" x14ac:dyDescent="0.15">
      <c r="A23" s="21"/>
      <c r="B23" s="14"/>
      <c r="C23" s="14"/>
      <c r="D23" s="14"/>
      <c r="E23" s="14" t="s">
        <v>145</v>
      </c>
      <c r="F23" s="14"/>
      <c r="G23" s="93">
        <v>0</v>
      </c>
      <c r="H23" s="9"/>
      <c r="I23" s="93">
        <v>0</v>
      </c>
      <c r="J23" s="13"/>
      <c r="K23" s="112">
        <f t="shared" si="0"/>
        <v>0</v>
      </c>
      <c r="L23" s="59"/>
      <c r="M23" s="77"/>
      <c r="N23" s="59"/>
      <c r="O23" s="69"/>
      <c r="P23" s="81"/>
      <c r="Q23" s="81"/>
      <c r="R23" s="100">
        <f t="shared" si="2"/>
        <v>0</v>
      </c>
      <c r="S23" s="8"/>
      <c r="T23" s="25"/>
      <c r="U23" s="112">
        <f t="shared" si="3"/>
        <v>0</v>
      </c>
      <c r="V23" s="127"/>
      <c r="W23" s="93"/>
      <c r="X23" s="93"/>
      <c r="Y23" s="69"/>
      <c r="Z23" s="77">
        <f t="shared" si="4"/>
        <v>0</v>
      </c>
      <c r="AA23" s="100">
        <f t="shared" si="5"/>
        <v>0</v>
      </c>
      <c r="AB23" s="127"/>
      <c r="AC23" s="77"/>
      <c r="AD23" s="128">
        <f t="shared" si="6"/>
        <v>0</v>
      </c>
    </row>
    <row r="24" spans="1:30" x14ac:dyDescent="0.15">
      <c r="A24" s="24"/>
      <c r="B24" s="3"/>
      <c r="C24" s="3"/>
      <c r="D24" s="3"/>
      <c r="E24" s="3" t="s">
        <v>146</v>
      </c>
      <c r="F24" s="3"/>
      <c r="G24" s="93">
        <v>0</v>
      </c>
      <c r="H24" s="9"/>
      <c r="I24" s="93">
        <v>0</v>
      </c>
      <c r="J24" s="13"/>
      <c r="K24" s="112">
        <f t="shared" si="0"/>
        <v>0</v>
      </c>
      <c r="L24" s="59"/>
      <c r="M24" s="77"/>
      <c r="N24" s="59"/>
      <c r="O24" s="69"/>
      <c r="P24" s="81"/>
      <c r="Q24" s="81"/>
      <c r="R24" s="100">
        <f t="shared" si="2"/>
        <v>0</v>
      </c>
      <c r="S24" s="8"/>
      <c r="T24" s="25"/>
      <c r="U24" s="112">
        <f t="shared" si="3"/>
        <v>0</v>
      </c>
      <c r="V24" s="127"/>
      <c r="W24" s="93"/>
      <c r="X24" s="93"/>
      <c r="Y24" s="69"/>
      <c r="Z24" s="77">
        <f t="shared" si="4"/>
        <v>0</v>
      </c>
      <c r="AA24" s="100">
        <f t="shared" si="5"/>
        <v>0</v>
      </c>
      <c r="AB24" s="127"/>
      <c r="AC24" s="77"/>
      <c r="AD24" s="128">
        <f t="shared" si="6"/>
        <v>0</v>
      </c>
    </row>
    <row r="25" spans="1:30" x14ac:dyDescent="0.15">
      <c r="A25" s="21"/>
      <c r="B25" s="14"/>
      <c r="C25" s="14"/>
      <c r="D25" s="14"/>
      <c r="E25" s="14" t="s">
        <v>147</v>
      </c>
      <c r="F25" s="14"/>
      <c r="G25" s="93">
        <v>0</v>
      </c>
      <c r="H25" s="9"/>
      <c r="I25" s="93">
        <v>0</v>
      </c>
      <c r="J25" s="13"/>
      <c r="K25" s="112">
        <f t="shared" si="0"/>
        <v>0</v>
      </c>
      <c r="L25" s="59"/>
      <c r="M25" s="77"/>
      <c r="N25" s="59"/>
      <c r="O25" s="69"/>
      <c r="P25" s="81"/>
      <c r="Q25" s="81"/>
      <c r="R25" s="100">
        <f t="shared" si="2"/>
        <v>0</v>
      </c>
      <c r="S25" s="8"/>
      <c r="T25" s="25"/>
      <c r="U25" s="112">
        <f t="shared" si="3"/>
        <v>0</v>
      </c>
      <c r="V25" s="127"/>
      <c r="W25" s="93"/>
      <c r="X25" s="93"/>
      <c r="Y25" s="69"/>
      <c r="Z25" s="77">
        <f t="shared" si="4"/>
        <v>0</v>
      </c>
      <c r="AA25" s="100">
        <f t="shared" si="5"/>
        <v>0</v>
      </c>
      <c r="AB25" s="127"/>
      <c r="AC25" s="77"/>
      <c r="AD25" s="128">
        <f t="shared" si="6"/>
        <v>0</v>
      </c>
    </row>
    <row r="26" spans="1:30" x14ac:dyDescent="0.15">
      <c r="A26" s="24"/>
      <c r="B26" s="3"/>
      <c r="C26" s="3"/>
      <c r="D26" s="3"/>
      <c r="E26" s="3" t="s">
        <v>148</v>
      </c>
      <c r="F26" s="3"/>
      <c r="G26" s="93">
        <v>0</v>
      </c>
      <c r="H26" s="9"/>
      <c r="I26" s="93">
        <v>0</v>
      </c>
      <c r="J26" s="13"/>
      <c r="K26" s="112">
        <f t="shared" si="0"/>
        <v>0</v>
      </c>
      <c r="L26" s="59"/>
      <c r="M26" s="77"/>
      <c r="N26" s="59"/>
      <c r="O26" s="69"/>
      <c r="P26" s="81"/>
      <c r="Q26" s="81"/>
      <c r="R26" s="100">
        <f t="shared" si="2"/>
        <v>0</v>
      </c>
      <c r="S26" s="8"/>
      <c r="T26" s="25"/>
      <c r="U26" s="112">
        <f t="shared" si="3"/>
        <v>0</v>
      </c>
      <c r="V26" s="127"/>
      <c r="W26" s="93"/>
      <c r="X26" s="93"/>
      <c r="Y26" s="69"/>
      <c r="Z26" s="77">
        <f t="shared" si="4"/>
        <v>0</v>
      </c>
      <c r="AA26" s="100">
        <f t="shared" si="5"/>
        <v>0</v>
      </c>
      <c r="AB26" s="127"/>
      <c r="AC26" s="77"/>
      <c r="AD26" s="128">
        <f t="shared" si="6"/>
        <v>0</v>
      </c>
    </row>
    <row r="27" spans="1:30" x14ac:dyDescent="0.15">
      <c r="A27" s="21"/>
      <c r="B27" s="14"/>
      <c r="C27" s="14"/>
      <c r="D27" s="14"/>
      <c r="E27" s="14" t="s">
        <v>149</v>
      </c>
      <c r="F27" s="14"/>
      <c r="G27" s="93">
        <v>0</v>
      </c>
      <c r="H27" s="9"/>
      <c r="I27" s="93">
        <v>0</v>
      </c>
      <c r="J27" s="13"/>
      <c r="K27" s="112">
        <f t="shared" si="0"/>
        <v>0</v>
      </c>
      <c r="L27" s="59"/>
      <c r="M27" s="77"/>
      <c r="N27" s="59"/>
      <c r="O27" s="69"/>
      <c r="P27" s="81"/>
      <c r="Q27" s="81"/>
      <c r="R27" s="100">
        <f t="shared" si="2"/>
        <v>0</v>
      </c>
      <c r="S27" s="8"/>
      <c r="T27" s="25"/>
      <c r="U27" s="112">
        <f t="shared" si="3"/>
        <v>0</v>
      </c>
      <c r="V27" s="127"/>
      <c r="W27" s="93"/>
      <c r="X27" s="93"/>
      <c r="Y27" s="69"/>
      <c r="Z27" s="77">
        <f t="shared" si="4"/>
        <v>0</v>
      </c>
      <c r="AA27" s="100">
        <f t="shared" si="5"/>
        <v>0</v>
      </c>
      <c r="AB27" s="127"/>
      <c r="AC27" s="77"/>
      <c r="AD27" s="128">
        <f t="shared" si="6"/>
        <v>0</v>
      </c>
    </row>
    <row r="28" spans="1:30" x14ac:dyDescent="0.15">
      <c r="A28" s="24"/>
      <c r="B28" s="3"/>
      <c r="C28" s="3"/>
      <c r="D28" s="3"/>
      <c r="E28" s="3" t="s">
        <v>150</v>
      </c>
      <c r="F28" s="3"/>
      <c r="G28" s="93">
        <v>1370658</v>
      </c>
      <c r="H28" s="9"/>
      <c r="I28" s="93">
        <v>1370658</v>
      </c>
      <c r="J28" s="13"/>
      <c r="K28" s="112">
        <f t="shared" si="0"/>
        <v>1370658</v>
      </c>
      <c r="L28" s="59"/>
      <c r="M28" s="77">
        <v>40209</v>
      </c>
      <c r="N28" s="59"/>
      <c r="O28" s="69"/>
      <c r="P28" s="81"/>
      <c r="Q28" s="81"/>
      <c r="R28" s="100">
        <f t="shared" si="2"/>
        <v>40209</v>
      </c>
      <c r="S28" s="8"/>
      <c r="T28" s="25"/>
      <c r="U28" s="112">
        <f t="shared" si="3"/>
        <v>1410867</v>
      </c>
      <c r="V28" s="127"/>
      <c r="W28" s="93"/>
      <c r="X28" s="93"/>
      <c r="Y28" s="69"/>
      <c r="Z28" s="77">
        <f t="shared" si="4"/>
        <v>0</v>
      </c>
      <c r="AA28" s="100">
        <f t="shared" si="5"/>
        <v>0</v>
      </c>
      <c r="AB28" s="127"/>
      <c r="AC28" s="77"/>
      <c r="AD28" s="128">
        <f t="shared" si="6"/>
        <v>1410867</v>
      </c>
    </row>
    <row r="29" spans="1:30" x14ac:dyDescent="0.15">
      <c r="A29" s="24"/>
      <c r="B29" s="3"/>
      <c r="C29" s="3"/>
      <c r="D29" s="3" t="s">
        <v>151</v>
      </c>
      <c r="E29" s="3"/>
      <c r="F29" s="3"/>
      <c r="G29" s="93">
        <v>45752301.740999997</v>
      </c>
      <c r="H29" s="9"/>
      <c r="I29" s="93">
        <v>45752301.740999997</v>
      </c>
      <c r="J29" s="13"/>
      <c r="K29" s="112">
        <f t="shared" si="0"/>
        <v>45752301.740999997</v>
      </c>
      <c r="L29" s="59">
        <f>L30+L31+L33+L35+L37+L32+L34</f>
        <v>72416493.862000003</v>
      </c>
      <c r="M29" s="77"/>
      <c r="N29" s="59"/>
      <c r="O29" s="69"/>
      <c r="P29" s="81"/>
      <c r="Q29" s="81"/>
      <c r="R29" s="100">
        <f t="shared" si="2"/>
        <v>72416493.862000003</v>
      </c>
      <c r="S29" s="8"/>
      <c r="T29" s="25"/>
      <c r="U29" s="112">
        <f t="shared" si="3"/>
        <v>118168795.603</v>
      </c>
      <c r="V29" s="127">
        <v>0</v>
      </c>
      <c r="W29" s="93">
        <v>0</v>
      </c>
      <c r="X29" s="93"/>
      <c r="Y29" s="69"/>
      <c r="Z29" s="77">
        <f t="shared" si="4"/>
        <v>0</v>
      </c>
      <c r="AA29" s="100">
        <f t="shared" si="5"/>
        <v>0</v>
      </c>
      <c r="AB29" s="127"/>
      <c r="AC29" s="77"/>
      <c r="AD29" s="128">
        <f t="shared" si="6"/>
        <v>118168795.603</v>
      </c>
    </row>
    <row r="30" spans="1:30" x14ac:dyDescent="0.15">
      <c r="A30" s="24"/>
      <c r="B30" s="3"/>
      <c r="C30" s="3"/>
      <c r="D30" s="3"/>
      <c r="E30" s="3" t="s">
        <v>136</v>
      </c>
      <c r="F30" s="3"/>
      <c r="G30" s="93">
        <v>29201282</v>
      </c>
      <c r="H30" s="9"/>
      <c r="I30" s="93">
        <v>29201282</v>
      </c>
      <c r="J30" s="13"/>
      <c r="K30" s="112">
        <f t="shared" si="0"/>
        <v>29201282</v>
      </c>
      <c r="L30" s="59">
        <v>3218446.8620000002</v>
      </c>
      <c r="M30" s="77"/>
      <c r="N30" s="59"/>
      <c r="O30" s="69"/>
      <c r="P30" s="81"/>
      <c r="Q30" s="81"/>
      <c r="R30" s="100">
        <f t="shared" si="2"/>
        <v>3218446.8620000002</v>
      </c>
      <c r="S30" s="8"/>
      <c r="T30" s="25"/>
      <c r="U30" s="112">
        <f t="shared" si="3"/>
        <v>32419728.862</v>
      </c>
      <c r="V30" s="127"/>
      <c r="W30" s="93"/>
      <c r="X30" s="93"/>
      <c r="Y30" s="69"/>
      <c r="Z30" s="77">
        <f t="shared" si="4"/>
        <v>0</v>
      </c>
      <c r="AA30" s="100">
        <f t="shared" si="5"/>
        <v>0</v>
      </c>
      <c r="AB30" s="127"/>
      <c r="AC30" s="77"/>
      <c r="AD30" s="128">
        <f t="shared" si="6"/>
        <v>32419728.862</v>
      </c>
    </row>
    <row r="31" spans="1:30" x14ac:dyDescent="0.15">
      <c r="A31" s="24"/>
      <c r="B31" s="3"/>
      <c r="C31" s="3"/>
      <c r="D31" s="3"/>
      <c r="E31" s="3" t="s">
        <v>138</v>
      </c>
      <c r="F31" s="3"/>
      <c r="G31" s="93">
        <v>300973.59999999998</v>
      </c>
      <c r="H31" s="9"/>
      <c r="I31" s="93">
        <v>300973.59999999998</v>
      </c>
      <c r="J31" s="13"/>
      <c r="K31" s="112">
        <f t="shared" si="0"/>
        <v>300973.59999999998</v>
      </c>
      <c r="L31" s="59">
        <v>914374</v>
      </c>
      <c r="M31" s="77"/>
      <c r="N31" s="59"/>
      <c r="O31" s="69"/>
      <c r="P31" s="81"/>
      <c r="Q31" s="81"/>
      <c r="R31" s="100">
        <f t="shared" si="2"/>
        <v>914374</v>
      </c>
      <c r="S31" s="8"/>
      <c r="T31" s="25"/>
      <c r="U31" s="112">
        <f t="shared" si="3"/>
        <v>1215347.6000000001</v>
      </c>
      <c r="V31" s="127"/>
      <c r="W31" s="93"/>
      <c r="X31" s="93"/>
      <c r="Y31" s="69"/>
      <c r="Z31" s="77">
        <f t="shared" si="4"/>
        <v>0</v>
      </c>
      <c r="AA31" s="100">
        <f t="shared" si="5"/>
        <v>0</v>
      </c>
      <c r="AB31" s="127"/>
      <c r="AC31" s="77"/>
      <c r="AD31" s="128">
        <f t="shared" si="6"/>
        <v>1215347.6000000001</v>
      </c>
    </row>
    <row r="32" spans="1:30" x14ac:dyDescent="0.15">
      <c r="A32" s="24"/>
      <c r="B32" s="3"/>
      <c r="C32" s="3"/>
      <c r="D32" s="3"/>
      <c r="E32" s="3" t="s">
        <v>139</v>
      </c>
      <c r="F32" s="3"/>
      <c r="G32" s="93">
        <v>-215582.652</v>
      </c>
      <c r="H32" s="9"/>
      <c r="I32" s="93">
        <v>-215582.652</v>
      </c>
      <c r="J32" s="13"/>
      <c r="K32" s="112">
        <f t="shared" si="0"/>
        <v>-215582.652</v>
      </c>
      <c r="L32" s="59">
        <v>-125408</v>
      </c>
      <c r="M32" s="77"/>
      <c r="N32" s="59"/>
      <c r="O32" s="69"/>
      <c r="P32" s="81"/>
      <c r="Q32" s="81"/>
      <c r="R32" s="100">
        <f t="shared" si="2"/>
        <v>-125408</v>
      </c>
      <c r="S32" s="8"/>
      <c r="T32" s="25"/>
      <c r="U32" s="112">
        <f t="shared" si="3"/>
        <v>-340990.652</v>
      </c>
      <c r="V32" s="127"/>
      <c r="W32" s="93"/>
      <c r="X32" s="93"/>
      <c r="Y32" s="69"/>
      <c r="Z32" s="77">
        <f t="shared" si="4"/>
        <v>0</v>
      </c>
      <c r="AA32" s="100">
        <f t="shared" si="5"/>
        <v>0</v>
      </c>
      <c r="AB32" s="127"/>
      <c r="AC32" s="77"/>
      <c r="AD32" s="128">
        <f t="shared" si="6"/>
        <v>-340990.652</v>
      </c>
    </row>
    <row r="33" spans="1:30" x14ac:dyDescent="0.15">
      <c r="A33" s="24"/>
      <c r="B33" s="3"/>
      <c r="C33" s="3"/>
      <c r="D33" s="3"/>
      <c r="E33" s="3" t="s">
        <v>140</v>
      </c>
      <c r="F33" s="3"/>
      <c r="G33" s="93">
        <v>60714002.027000003</v>
      </c>
      <c r="H33" s="9"/>
      <c r="I33" s="93">
        <v>60714002.027000003</v>
      </c>
      <c r="J33" s="13"/>
      <c r="K33" s="112">
        <f t="shared" si="0"/>
        <v>60714002.027000003</v>
      </c>
      <c r="L33" s="59">
        <v>80490429</v>
      </c>
      <c r="M33" s="77"/>
      <c r="N33" s="59"/>
      <c r="O33" s="69"/>
      <c r="P33" s="81"/>
      <c r="Q33" s="81"/>
      <c r="R33" s="100">
        <f t="shared" si="2"/>
        <v>80490429</v>
      </c>
      <c r="S33" s="8"/>
      <c r="T33" s="25"/>
      <c r="U33" s="112">
        <f t="shared" si="3"/>
        <v>141204431.02700001</v>
      </c>
      <c r="V33" s="127"/>
      <c r="W33" s="93"/>
      <c r="X33" s="93"/>
      <c r="Y33" s="69"/>
      <c r="Z33" s="77">
        <f t="shared" si="4"/>
        <v>0</v>
      </c>
      <c r="AA33" s="100">
        <f t="shared" si="5"/>
        <v>0</v>
      </c>
      <c r="AB33" s="127"/>
      <c r="AC33" s="77"/>
      <c r="AD33" s="128">
        <f t="shared" si="6"/>
        <v>141204431.02700001</v>
      </c>
    </row>
    <row r="34" spans="1:30" x14ac:dyDescent="0.15">
      <c r="A34" s="24"/>
      <c r="B34" s="3"/>
      <c r="C34" s="3"/>
      <c r="D34" s="3"/>
      <c r="E34" s="3" t="s">
        <v>141</v>
      </c>
      <c r="F34" s="3"/>
      <c r="G34" s="93">
        <v>-44377958.233999997</v>
      </c>
      <c r="H34" s="9"/>
      <c r="I34" s="93">
        <v>-44377958.233999997</v>
      </c>
      <c r="J34" s="13"/>
      <c r="K34" s="112">
        <f t="shared" si="0"/>
        <v>-44377958.233999997</v>
      </c>
      <c r="L34" s="59">
        <v>-12177723</v>
      </c>
      <c r="M34" s="77"/>
      <c r="N34" s="59"/>
      <c r="O34" s="69"/>
      <c r="P34" s="81"/>
      <c r="Q34" s="81"/>
      <c r="R34" s="100">
        <f t="shared" si="2"/>
        <v>-12177723</v>
      </c>
      <c r="S34" s="8"/>
      <c r="T34" s="25"/>
      <c r="U34" s="112">
        <f t="shared" si="3"/>
        <v>-56555681.233999997</v>
      </c>
      <c r="V34" s="127"/>
      <c r="W34" s="93"/>
      <c r="X34" s="93"/>
      <c r="Y34" s="69"/>
      <c r="Z34" s="77">
        <f t="shared" si="4"/>
        <v>0</v>
      </c>
      <c r="AA34" s="100">
        <f t="shared" si="5"/>
        <v>0</v>
      </c>
      <c r="AB34" s="127"/>
      <c r="AC34" s="77"/>
      <c r="AD34" s="128">
        <f t="shared" si="6"/>
        <v>-56555681.233999997</v>
      </c>
    </row>
    <row r="35" spans="1:30" x14ac:dyDescent="0.15">
      <c r="A35" s="24"/>
      <c r="B35" s="3"/>
      <c r="C35" s="3"/>
      <c r="D35" s="3"/>
      <c r="E35" s="3" t="s">
        <v>148</v>
      </c>
      <c r="F35" s="3"/>
      <c r="G35" s="93">
        <v>0</v>
      </c>
      <c r="H35" s="9"/>
      <c r="I35" s="93">
        <v>0</v>
      </c>
      <c r="J35" s="13"/>
      <c r="K35" s="112">
        <f t="shared" si="0"/>
        <v>0</v>
      </c>
      <c r="L35" s="59">
        <v>0</v>
      </c>
      <c r="M35" s="77"/>
      <c r="N35" s="59"/>
      <c r="O35" s="69"/>
      <c r="P35" s="81"/>
      <c r="Q35" s="81"/>
      <c r="R35" s="100">
        <f t="shared" si="2"/>
        <v>0</v>
      </c>
      <c r="S35" s="8"/>
      <c r="T35" s="25"/>
      <c r="U35" s="112">
        <f t="shared" si="3"/>
        <v>0</v>
      </c>
      <c r="V35" s="127"/>
      <c r="W35" s="93"/>
      <c r="X35" s="93"/>
      <c r="Y35" s="69"/>
      <c r="Z35" s="77">
        <f t="shared" si="4"/>
        <v>0</v>
      </c>
      <c r="AA35" s="100">
        <f t="shared" si="5"/>
        <v>0</v>
      </c>
      <c r="AB35" s="127"/>
      <c r="AC35" s="77"/>
      <c r="AD35" s="128">
        <f t="shared" si="6"/>
        <v>0</v>
      </c>
    </row>
    <row r="36" spans="1:30" x14ac:dyDescent="0.15">
      <c r="A36" s="24"/>
      <c r="B36" s="3"/>
      <c r="C36" s="3"/>
      <c r="D36" s="3"/>
      <c r="E36" s="3" t="s">
        <v>149</v>
      </c>
      <c r="F36" s="3"/>
      <c r="G36" s="93">
        <v>0</v>
      </c>
      <c r="H36" s="9"/>
      <c r="I36" s="93">
        <v>0</v>
      </c>
      <c r="J36" s="13"/>
      <c r="K36" s="112">
        <f t="shared" si="0"/>
        <v>0</v>
      </c>
      <c r="L36" s="59">
        <v>0</v>
      </c>
      <c r="M36" s="77"/>
      <c r="N36" s="59"/>
      <c r="O36" s="69"/>
      <c r="P36" s="81"/>
      <c r="Q36" s="81"/>
      <c r="R36" s="100">
        <f t="shared" si="2"/>
        <v>0</v>
      </c>
      <c r="S36" s="8"/>
      <c r="T36" s="25"/>
      <c r="U36" s="112">
        <f t="shared" si="3"/>
        <v>0</v>
      </c>
      <c r="V36" s="127"/>
      <c r="W36" s="93"/>
      <c r="X36" s="93"/>
      <c r="Y36" s="69"/>
      <c r="Z36" s="77">
        <f t="shared" si="4"/>
        <v>0</v>
      </c>
      <c r="AA36" s="100">
        <f t="shared" si="5"/>
        <v>0</v>
      </c>
      <c r="AB36" s="127"/>
      <c r="AC36" s="77"/>
      <c r="AD36" s="128">
        <f t="shared" si="6"/>
        <v>0</v>
      </c>
    </row>
    <row r="37" spans="1:30" x14ac:dyDescent="0.15">
      <c r="A37" s="24"/>
      <c r="B37" s="3"/>
      <c r="C37" s="3"/>
      <c r="D37" s="3"/>
      <c r="E37" s="3" t="s">
        <v>152</v>
      </c>
      <c r="F37" s="3"/>
      <c r="G37" s="93">
        <v>129585</v>
      </c>
      <c r="H37" s="9"/>
      <c r="I37" s="93">
        <v>129585</v>
      </c>
      <c r="J37" s="13"/>
      <c r="K37" s="112">
        <f t="shared" si="0"/>
        <v>129585</v>
      </c>
      <c r="L37" s="59">
        <v>96375</v>
      </c>
      <c r="M37" s="77"/>
      <c r="N37" s="59"/>
      <c r="O37" s="69"/>
      <c r="P37" s="81"/>
      <c r="Q37" s="81"/>
      <c r="R37" s="100">
        <f t="shared" si="2"/>
        <v>96375</v>
      </c>
      <c r="S37" s="8"/>
      <c r="T37" s="25"/>
      <c r="U37" s="112">
        <f t="shared" si="3"/>
        <v>225960</v>
      </c>
      <c r="V37" s="127"/>
      <c r="W37" s="93"/>
      <c r="X37" s="93"/>
      <c r="Y37" s="69"/>
      <c r="Z37" s="77">
        <f t="shared" si="4"/>
        <v>0</v>
      </c>
      <c r="AA37" s="100">
        <f t="shared" si="5"/>
        <v>0</v>
      </c>
      <c r="AB37" s="127"/>
      <c r="AC37" s="77"/>
      <c r="AD37" s="128">
        <f t="shared" si="6"/>
        <v>225960</v>
      </c>
    </row>
    <row r="38" spans="1:30" x14ac:dyDescent="0.15">
      <c r="A38" s="24"/>
      <c r="B38" s="3"/>
      <c r="C38" s="3"/>
      <c r="D38" s="3" t="s">
        <v>153</v>
      </c>
      <c r="E38" s="3"/>
      <c r="F38" s="3"/>
      <c r="G38" s="93">
        <v>6479838</v>
      </c>
      <c r="H38" s="9"/>
      <c r="I38" s="93">
        <v>6479838</v>
      </c>
      <c r="J38" s="13"/>
      <c r="K38" s="112">
        <f t="shared" si="0"/>
        <v>6479838</v>
      </c>
      <c r="L38" s="59">
        <v>2824</v>
      </c>
      <c r="M38" s="77">
        <v>5086483</v>
      </c>
      <c r="N38" s="59"/>
      <c r="O38" s="69"/>
      <c r="P38" s="81"/>
      <c r="Q38" s="81"/>
      <c r="R38" s="100">
        <f t="shared" si="2"/>
        <v>5089307</v>
      </c>
      <c r="S38" s="8"/>
      <c r="T38" s="25"/>
      <c r="U38" s="112">
        <f t="shared" si="3"/>
        <v>11569145</v>
      </c>
      <c r="V38" s="127"/>
      <c r="W38" s="93"/>
      <c r="X38" s="93">
        <v>1706</v>
      </c>
      <c r="Y38" s="69">
        <v>9401</v>
      </c>
      <c r="Z38" s="77">
        <f t="shared" si="4"/>
        <v>11107</v>
      </c>
      <c r="AA38" s="100">
        <f t="shared" si="5"/>
        <v>11107</v>
      </c>
      <c r="AB38" s="127"/>
      <c r="AC38" s="77"/>
      <c r="AD38" s="128">
        <f t="shared" si="6"/>
        <v>11580252</v>
      </c>
    </row>
    <row r="39" spans="1:30" x14ac:dyDescent="0.15">
      <c r="A39" s="24"/>
      <c r="B39" s="3"/>
      <c r="C39" s="3"/>
      <c r="D39" s="3" t="s">
        <v>154</v>
      </c>
      <c r="E39" s="3"/>
      <c r="F39" s="3"/>
      <c r="G39" s="93">
        <v>-3332753.3309999998</v>
      </c>
      <c r="H39" s="9"/>
      <c r="I39" s="93">
        <v>-3332753.3309999998</v>
      </c>
      <c r="J39" s="13"/>
      <c r="K39" s="112">
        <f t="shared" si="0"/>
        <v>-3332753.3309999998</v>
      </c>
      <c r="L39" s="59">
        <v>-672</v>
      </c>
      <c r="M39" s="77">
        <v>-3111762</v>
      </c>
      <c r="N39" s="59"/>
      <c r="O39" s="69"/>
      <c r="P39" s="81"/>
      <c r="Q39" s="81"/>
      <c r="R39" s="100">
        <f t="shared" si="2"/>
        <v>-3112434</v>
      </c>
      <c r="S39" s="8"/>
      <c r="T39" s="25"/>
      <c r="U39" s="112">
        <f t="shared" si="3"/>
        <v>-6445187.3310000002</v>
      </c>
      <c r="V39" s="127"/>
      <c r="W39" s="93"/>
      <c r="X39" s="93"/>
      <c r="Y39" s="69">
        <v>0</v>
      </c>
      <c r="Z39" s="77">
        <f t="shared" si="4"/>
        <v>0</v>
      </c>
      <c r="AA39" s="100">
        <f t="shared" si="5"/>
        <v>0</v>
      </c>
      <c r="AB39" s="127"/>
      <c r="AC39" s="77"/>
      <c r="AD39" s="128">
        <f t="shared" si="6"/>
        <v>-6445187.3310000002</v>
      </c>
    </row>
    <row r="40" spans="1:30" x14ac:dyDescent="0.15">
      <c r="A40" s="24"/>
      <c r="B40" s="3"/>
      <c r="C40" s="3" t="s">
        <v>155</v>
      </c>
      <c r="D40" s="3"/>
      <c r="E40" s="3"/>
      <c r="F40" s="3"/>
      <c r="G40" s="93">
        <v>56635</v>
      </c>
      <c r="H40" s="9"/>
      <c r="I40" s="93">
        <v>56635</v>
      </c>
      <c r="J40" s="13"/>
      <c r="K40" s="112">
        <f t="shared" si="0"/>
        <v>56635</v>
      </c>
      <c r="L40" s="59">
        <f>L41+L42</f>
        <v>2510317</v>
      </c>
      <c r="M40" s="77">
        <v>575803</v>
      </c>
      <c r="N40" s="59"/>
      <c r="O40" s="69"/>
      <c r="P40" s="81"/>
      <c r="Q40" s="81"/>
      <c r="R40" s="100">
        <f t="shared" si="2"/>
        <v>3086120</v>
      </c>
      <c r="S40" s="8"/>
      <c r="T40" s="25"/>
      <c r="U40" s="112">
        <f t="shared" si="3"/>
        <v>3142755</v>
      </c>
      <c r="V40" s="127">
        <v>0</v>
      </c>
      <c r="W40" s="93">
        <v>0</v>
      </c>
      <c r="X40" s="93"/>
      <c r="Y40" s="69">
        <v>106</v>
      </c>
      <c r="Z40" s="77">
        <f t="shared" ref="Z40" si="7">SUM(X40:Y40)</f>
        <v>106</v>
      </c>
      <c r="AA40" s="100">
        <f t="shared" ref="AA40" si="8">V40+W40+Z40</f>
        <v>106</v>
      </c>
      <c r="AB40" s="127"/>
      <c r="AC40" s="77"/>
      <c r="AD40" s="128">
        <f t="shared" si="6"/>
        <v>3142861</v>
      </c>
    </row>
    <row r="41" spans="1:30" x14ac:dyDescent="0.15">
      <c r="A41" s="24"/>
      <c r="B41" s="3"/>
      <c r="C41" s="3"/>
      <c r="D41" s="3" t="s">
        <v>3</v>
      </c>
      <c r="E41" s="3"/>
      <c r="F41" s="3"/>
      <c r="G41" s="93">
        <v>56635</v>
      </c>
      <c r="H41" s="9"/>
      <c r="I41" s="93">
        <v>56635</v>
      </c>
      <c r="J41" s="13"/>
      <c r="K41" s="112">
        <f t="shared" si="0"/>
        <v>56635</v>
      </c>
      <c r="L41" s="59">
        <v>2509296</v>
      </c>
      <c r="M41" s="77">
        <v>574000</v>
      </c>
      <c r="N41" s="59"/>
      <c r="O41" s="69"/>
      <c r="P41" s="81"/>
      <c r="Q41" s="81"/>
      <c r="R41" s="100">
        <f t="shared" si="2"/>
        <v>3083296</v>
      </c>
      <c r="S41" s="8"/>
      <c r="T41" s="25"/>
      <c r="U41" s="112">
        <f t="shared" si="3"/>
        <v>3139931</v>
      </c>
      <c r="V41" s="127"/>
      <c r="W41" s="93"/>
      <c r="X41" s="93"/>
      <c r="Y41" s="69">
        <v>106</v>
      </c>
      <c r="Z41" s="77">
        <f t="shared" si="4"/>
        <v>106</v>
      </c>
      <c r="AA41" s="100">
        <f t="shared" si="5"/>
        <v>106</v>
      </c>
      <c r="AB41" s="127"/>
      <c r="AC41" s="77"/>
      <c r="AD41" s="128">
        <f t="shared" si="6"/>
        <v>3140037</v>
      </c>
    </row>
    <row r="42" spans="1:30" x14ac:dyDescent="0.15">
      <c r="A42" s="24"/>
      <c r="B42" s="3"/>
      <c r="C42" s="3"/>
      <c r="D42" s="3" t="s">
        <v>148</v>
      </c>
      <c r="E42" s="3"/>
      <c r="F42" s="3"/>
      <c r="G42" s="93">
        <v>0</v>
      </c>
      <c r="H42" s="9"/>
      <c r="I42" s="93">
        <v>0</v>
      </c>
      <c r="J42" s="13"/>
      <c r="K42" s="112">
        <f t="shared" si="0"/>
        <v>0</v>
      </c>
      <c r="L42" s="59">
        <v>1021</v>
      </c>
      <c r="M42" s="77">
        <v>1803</v>
      </c>
      <c r="N42" s="59"/>
      <c r="O42" s="69"/>
      <c r="P42" s="81"/>
      <c r="Q42" s="81"/>
      <c r="R42" s="100">
        <f t="shared" si="2"/>
        <v>2824</v>
      </c>
      <c r="S42" s="8"/>
      <c r="T42" s="25"/>
      <c r="U42" s="112">
        <f t="shared" si="3"/>
        <v>2824</v>
      </c>
      <c r="V42" s="127"/>
      <c r="W42" s="93"/>
      <c r="X42" s="93"/>
      <c r="Y42" s="69"/>
      <c r="Z42" s="77">
        <f t="shared" si="4"/>
        <v>0</v>
      </c>
      <c r="AA42" s="100">
        <f t="shared" si="5"/>
        <v>0</v>
      </c>
      <c r="AB42" s="127"/>
      <c r="AC42" s="77"/>
      <c r="AD42" s="128">
        <f t="shared" si="6"/>
        <v>2824</v>
      </c>
    </row>
    <row r="43" spans="1:30" x14ac:dyDescent="0.15">
      <c r="A43" s="24"/>
      <c r="B43" s="3"/>
      <c r="C43" s="3" t="s">
        <v>156</v>
      </c>
      <c r="D43" s="3"/>
      <c r="E43" s="3"/>
      <c r="F43" s="3"/>
      <c r="G43" s="93">
        <v>8245160</v>
      </c>
      <c r="H43" s="9"/>
      <c r="I43" s="93">
        <v>8245160</v>
      </c>
      <c r="J43" s="100"/>
      <c r="K43" s="112">
        <f t="shared" si="0"/>
        <v>8245160</v>
      </c>
      <c r="L43" s="59">
        <f>L44+L48+L49+L50+L51+L54+L55</f>
        <v>8977</v>
      </c>
      <c r="M43" s="77">
        <v>232197</v>
      </c>
      <c r="N43" s="59">
        <v>853510</v>
      </c>
      <c r="O43" s="69">
        <v>6022</v>
      </c>
      <c r="P43" s="81">
        <v>1158446</v>
      </c>
      <c r="Q43" s="81"/>
      <c r="R43" s="100">
        <f t="shared" si="2"/>
        <v>2259152</v>
      </c>
      <c r="S43" s="8"/>
      <c r="T43" s="107">
        <v>-6017690</v>
      </c>
      <c r="U43" s="112">
        <f t="shared" si="3"/>
        <v>4486622</v>
      </c>
      <c r="V43" s="127">
        <v>156823</v>
      </c>
      <c r="W43" s="93">
        <v>5000</v>
      </c>
      <c r="X43" s="93">
        <v>356583</v>
      </c>
      <c r="Y43" s="69">
        <v>22533</v>
      </c>
      <c r="Z43" s="77">
        <f t="shared" si="4"/>
        <v>379116</v>
      </c>
      <c r="AA43" s="100">
        <f t="shared" si="5"/>
        <v>540939</v>
      </c>
      <c r="AB43" s="127"/>
      <c r="AC43" s="77">
        <f>-308000</f>
        <v>-308000</v>
      </c>
      <c r="AD43" s="128">
        <f t="shared" si="6"/>
        <v>4719561</v>
      </c>
    </row>
    <row r="44" spans="1:30" x14ac:dyDescent="0.15">
      <c r="A44" s="24"/>
      <c r="B44" s="3"/>
      <c r="C44" s="3"/>
      <c r="D44" s="3" t="s">
        <v>157</v>
      </c>
      <c r="E44" s="3"/>
      <c r="F44" s="3"/>
      <c r="G44" s="93">
        <v>6506042</v>
      </c>
      <c r="H44" s="9"/>
      <c r="I44" s="93">
        <v>6506042</v>
      </c>
      <c r="J44" s="100"/>
      <c r="K44" s="112">
        <f t="shared" si="0"/>
        <v>6506042</v>
      </c>
      <c r="L44" s="59">
        <f>SUM(L45:L47)</f>
        <v>4370</v>
      </c>
      <c r="M44" s="77"/>
      <c r="N44" s="59"/>
      <c r="O44" s="69"/>
      <c r="P44" s="81"/>
      <c r="Q44" s="81"/>
      <c r="R44" s="100">
        <f t="shared" si="2"/>
        <v>4370</v>
      </c>
      <c r="S44" s="8"/>
      <c r="T44" s="107">
        <v>-6017690</v>
      </c>
      <c r="U44" s="112">
        <f t="shared" si="3"/>
        <v>492722</v>
      </c>
      <c r="V44" s="127">
        <v>0</v>
      </c>
      <c r="W44" s="93"/>
      <c r="X44" s="93">
        <v>300000</v>
      </c>
      <c r="Y44" s="69">
        <v>3000</v>
      </c>
      <c r="Z44" s="77">
        <f t="shared" si="4"/>
        <v>303000</v>
      </c>
      <c r="AA44" s="100">
        <f t="shared" si="5"/>
        <v>303000</v>
      </c>
      <c r="AB44" s="127"/>
      <c r="AC44" s="77">
        <f>-308000</f>
        <v>-308000</v>
      </c>
      <c r="AD44" s="128">
        <f t="shared" si="6"/>
        <v>487722</v>
      </c>
    </row>
    <row r="45" spans="1:30" x14ac:dyDescent="0.15">
      <c r="A45" s="24"/>
      <c r="B45" s="3"/>
      <c r="C45" s="3"/>
      <c r="D45" s="3"/>
      <c r="E45" s="3" t="s">
        <v>158</v>
      </c>
      <c r="F45" s="3"/>
      <c r="G45" s="93">
        <v>79110</v>
      </c>
      <c r="H45" s="9"/>
      <c r="I45" s="93">
        <v>79110</v>
      </c>
      <c r="J45" s="13"/>
      <c r="K45" s="112">
        <f t="shared" si="0"/>
        <v>79110</v>
      </c>
      <c r="L45" s="59">
        <v>0</v>
      </c>
      <c r="M45" s="77"/>
      <c r="N45" s="59"/>
      <c r="O45" s="69"/>
      <c r="P45" s="81"/>
      <c r="Q45" s="81"/>
      <c r="R45" s="100">
        <f t="shared" si="2"/>
        <v>0</v>
      </c>
      <c r="S45" s="8"/>
      <c r="T45" s="25"/>
      <c r="U45" s="112">
        <f t="shared" si="3"/>
        <v>79110</v>
      </c>
      <c r="V45" s="127"/>
      <c r="W45" s="93"/>
      <c r="X45" s="93">
        <v>299217</v>
      </c>
      <c r="Y45" s="69"/>
      <c r="Z45" s="77">
        <f t="shared" si="4"/>
        <v>299217</v>
      </c>
      <c r="AA45" s="100">
        <f t="shared" si="5"/>
        <v>299217</v>
      </c>
      <c r="AB45" s="127"/>
      <c r="AC45" s="9"/>
      <c r="AD45" s="128">
        <f t="shared" si="6"/>
        <v>378327</v>
      </c>
    </row>
    <row r="46" spans="1:30" x14ac:dyDescent="0.15">
      <c r="A46" s="24"/>
      <c r="B46" s="3"/>
      <c r="C46" s="3"/>
      <c r="D46" s="3"/>
      <c r="E46" s="3" t="s">
        <v>159</v>
      </c>
      <c r="F46" s="3"/>
      <c r="G46" s="93">
        <v>6426932</v>
      </c>
      <c r="H46" s="9"/>
      <c r="I46" s="93">
        <v>6426932</v>
      </c>
      <c r="J46" s="100"/>
      <c r="K46" s="112">
        <f t="shared" si="0"/>
        <v>6426932</v>
      </c>
      <c r="L46" s="59">
        <v>4370</v>
      </c>
      <c r="M46" s="77"/>
      <c r="N46" s="59"/>
      <c r="O46" s="69"/>
      <c r="P46" s="81"/>
      <c r="Q46" s="81"/>
      <c r="R46" s="100">
        <f t="shared" si="2"/>
        <v>4370</v>
      </c>
      <c r="S46" s="8"/>
      <c r="T46" s="107">
        <v>-6017690</v>
      </c>
      <c r="U46" s="112">
        <f t="shared" si="3"/>
        <v>413612</v>
      </c>
      <c r="V46" s="127"/>
      <c r="W46" s="93"/>
      <c r="X46" s="93"/>
      <c r="Y46" s="69"/>
      <c r="Z46" s="77">
        <f t="shared" si="4"/>
        <v>0</v>
      </c>
      <c r="AA46" s="100">
        <f t="shared" si="5"/>
        <v>0</v>
      </c>
      <c r="AB46" s="127"/>
      <c r="AC46" s="77">
        <f>-308000</f>
        <v>-308000</v>
      </c>
      <c r="AD46" s="128">
        <f t="shared" si="6"/>
        <v>105612</v>
      </c>
    </row>
    <row r="47" spans="1:30" x14ac:dyDescent="0.15">
      <c r="A47" s="24"/>
      <c r="B47" s="3"/>
      <c r="C47" s="3"/>
      <c r="D47" s="3"/>
      <c r="E47" s="3" t="s">
        <v>148</v>
      </c>
      <c r="F47" s="3"/>
      <c r="G47" s="93">
        <v>0</v>
      </c>
      <c r="H47" s="9"/>
      <c r="I47" s="93">
        <v>0</v>
      </c>
      <c r="J47" s="13"/>
      <c r="K47" s="112">
        <f t="shared" si="0"/>
        <v>0</v>
      </c>
      <c r="L47" s="59">
        <v>0</v>
      </c>
      <c r="M47" s="77"/>
      <c r="N47" s="59"/>
      <c r="O47" s="69"/>
      <c r="P47" s="81"/>
      <c r="Q47" s="81"/>
      <c r="R47" s="100">
        <f t="shared" si="2"/>
        <v>0</v>
      </c>
      <c r="S47" s="8"/>
      <c r="T47" s="25"/>
      <c r="U47" s="112">
        <f t="shared" si="3"/>
        <v>0</v>
      </c>
      <c r="V47" s="127"/>
      <c r="W47" s="93"/>
      <c r="X47" s="93">
        <v>783</v>
      </c>
      <c r="Y47" s="69">
        <v>3000</v>
      </c>
      <c r="Z47" s="77">
        <f t="shared" si="4"/>
        <v>3783</v>
      </c>
      <c r="AA47" s="100">
        <f t="shared" si="5"/>
        <v>3783</v>
      </c>
      <c r="AB47" s="127"/>
      <c r="AC47" s="77"/>
      <c r="AD47" s="128">
        <f t="shared" si="6"/>
        <v>3783</v>
      </c>
    </row>
    <row r="48" spans="1:30" x14ac:dyDescent="0.15">
      <c r="A48" s="24"/>
      <c r="B48" s="3"/>
      <c r="C48" s="3"/>
      <c r="D48" s="3" t="s">
        <v>160</v>
      </c>
      <c r="E48" s="3"/>
      <c r="F48" s="3"/>
      <c r="G48" s="93">
        <v>0</v>
      </c>
      <c r="H48" s="9"/>
      <c r="I48" s="93">
        <v>0</v>
      </c>
      <c r="J48" s="13"/>
      <c r="K48" s="112">
        <f t="shared" si="0"/>
        <v>0</v>
      </c>
      <c r="L48" s="59"/>
      <c r="M48" s="77"/>
      <c r="N48" s="59"/>
      <c r="O48" s="69"/>
      <c r="P48" s="81"/>
      <c r="Q48" s="81"/>
      <c r="R48" s="100">
        <f t="shared" si="2"/>
        <v>0</v>
      </c>
      <c r="S48" s="8"/>
      <c r="T48" s="25"/>
      <c r="U48" s="112">
        <f t="shared" si="3"/>
        <v>0</v>
      </c>
      <c r="V48" s="127">
        <v>0</v>
      </c>
      <c r="W48" s="93"/>
      <c r="X48" s="93"/>
      <c r="Y48" s="69"/>
      <c r="Z48" s="77">
        <f t="shared" si="4"/>
        <v>0</v>
      </c>
      <c r="AA48" s="100">
        <f t="shared" si="5"/>
        <v>0</v>
      </c>
      <c r="AB48" s="127"/>
      <c r="AC48" s="77"/>
      <c r="AD48" s="128">
        <f t="shared" si="6"/>
        <v>0</v>
      </c>
    </row>
    <row r="49" spans="1:30" x14ac:dyDescent="0.15">
      <c r="A49" s="24"/>
      <c r="B49" s="3"/>
      <c r="C49" s="3"/>
      <c r="D49" s="3" t="s">
        <v>161</v>
      </c>
      <c r="E49" s="3"/>
      <c r="F49" s="3"/>
      <c r="G49" s="93">
        <v>782264</v>
      </c>
      <c r="H49" s="9"/>
      <c r="I49" s="93">
        <v>782264</v>
      </c>
      <c r="J49" s="13"/>
      <c r="K49" s="112">
        <f t="shared" si="0"/>
        <v>782264</v>
      </c>
      <c r="L49" s="59"/>
      <c r="M49" s="77"/>
      <c r="N49" s="59">
        <v>474462</v>
      </c>
      <c r="O49" s="69">
        <v>9473</v>
      </c>
      <c r="P49" s="81">
        <v>31571</v>
      </c>
      <c r="Q49" s="81"/>
      <c r="R49" s="100">
        <f t="shared" si="2"/>
        <v>515506</v>
      </c>
      <c r="S49" s="8"/>
      <c r="T49" s="25"/>
      <c r="U49" s="112">
        <f t="shared" si="3"/>
        <v>1297770</v>
      </c>
      <c r="V49" s="127">
        <v>3783</v>
      </c>
      <c r="W49" s="93"/>
      <c r="X49" s="93"/>
      <c r="Y49" s="69"/>
      <c r="Z49" s="77">
        <f t="shared" si="4"/>
        <v>0</v>
      </c>
      <c r="AA49" s="100">
        <f t="shared" si="5"/>
        <v>3783</v>
      </c>
      <c r="AB49" s="127"/>
      <c r="AC49" s="77"/>
      <c r="AD49" s="128">
        <f t="shared" si="6"/>
        <v>1301553</v>
      </c>
    </row>
    <row r="50" spans="1:30" x14ac:dyDescent="0.15">
      <c r="A50" s="24"/>
      <c r="B50" s="3"/>
      <c r="C50" s="3"/>
      <c r="D50" s="3" t="s">
        <v>162</v>
      </c>
      <c r="E50" s="3"/>
      <c r="F50" s="3"/>
      <c r="G50" s="93">
        <v>0</v>
      </c>
      <c r="H50" s="9"/>
      <c r="I50" s="93">
        <v>0</v>
      </c>
      <c r="J50" s="13"/>
      <c r="K50" s="112">
        <f t="shared" si="0"/>
        <v>0</v>
      </c>
      <c r="L50" s="59">
        <v>6207</v>
      </c>
      <c r="M50" s="77">
        <v>31100</v>
      </c>
      <c r="N50" s="59"/>
      <c r="O50" s="69"/>
      <c r="P50" s="81"/>
      <c r="Q50" s="81"/>
      <c r="R50" s="100">
        <f t="shared" si="2"/>
        <v>37307</v>
      </c>
      <c r="S50" s="8"/>
      <c r="T50" s="25"/>
      <c r="U50" s="112">
        <f t="shared" si="3"/>
        <v>37307</v>
      </c>
      <c r="V50" s="127"/>
      <c r="W50" s="93"/>
      <c r="X50" s="93"/>
      <c r="Y50" s="69"/>
      <c r="Z50" s="77">
        <f t="shared" si="4"/>
        <v>0</v>
      </c>
      <c r="AA50" s="100">
        <f t="shared" si="5"/>
        <v>0</v>
      </c>
      <c r="AB50" s="127"/>
      <c r="AC50" s="77"/>
      <c r="AD50" s="128">
        <f t="shared" si="6"/>
        <v>37307</v>
      </c>
    </row>
    <row r="51" spans="1:30" x14ac:dyDescent="0.15">
      <c r="A51" s="24"/>
      <c r="B51" s="3"/>
      <c r="C51" s="3"/>
      <c r="D51" s="3" t="s">
        <v>163</v>
      </c>
      <c r="E51" s="3"/>
      <c r="F51" s="3"/>
      <c r="G51" s="93">
        <v>1174463</v>
      </c>
      <c r="H51" s="9"/>
      <c r="I51" s="93">
        <v>1174463</v>
      </c>
      <c r="J51" s="13"/>
      <c r="K51" s="112">
        <f t="shared" si="0"/>
        <v>1174463</v>
      </c>
      <c r="L51" s="59"/>
      <c r="M51" s="77">
        <v>0</v>
      </c>
      <c r="N51" s="59">
        <v>638982</v>
      </c>
      <c r="O51" s="69"/>
      <c r="P51" s="81">
        <v>1152506</v>
      </c>
      <c r="Q51" s="81"/>
      <c r="R51" s="100">
        <f t="shared" si="2"/>
        <v>1791488</v>
      </c>
      <c r="S51" s="8"/>
      <c r="T51" s="25"/>
      <c r="U51" s="112">
        <f t="shared" si="3"/>
        <v>2965951</v>
      </c>
      <c r="V51" s="127">
        <v>153040</v>
      </c>
      <c r="W51" s="93">
        <v>5000</v>
      </c>
      <c r="X51" s="93">
        <v>56583</v>
      </c>
      <c r="Y51" s="69">
        <v>19521</v>
      </c>
      <c r="Z51" s="77">
        <f t="shared" si="4"/>
        <v>76104</v>
      </c>
      <c r="AA51" s="100">
        <f t="shared" si="5"/>
        <v>234144</v>
      </c>
      <c r="AB51" s="127"/>
      <c r="AC51" s="77"/>
      <c r="AD51" s="128">
        <f t="shared" si="6"/>
        <v>3200095</v>
      </c>
    </row>
    <row r="52" spans="1:30" x14ac:dyDescent="0.15">
      <c r="A52" s="24"/>
      <c r="B52" s="3"/>
      <c r="C52" s="3"/>
      <c r="D52" s="3" t="s">
        <v>164</v>
      </c>
      <c r="E52" s="3" t="s">
        <v>165</v>
      </c>
      <c r="F52" s="3"/>
      <c r="G52" s="93">
        <v>0</v>
      </c>
      <c r="H52" s="9"/>
      <c r="I52" s="93">
        <v>0</v>
      </c>
      <c r="J52" s="13"/>
      <c r="K52" s="112">
        <f t="shared" si="0"/>
        <v>0</v>
      </c>
      <c r="L52" s="59"/>
      <c r="M52" s="77"/>
      <c r="N52" s="59"/>
      <c r="O52" s="69"/>
      <c r="P52" s="81"/>
      <c r="Q52" s="81"/>
      <c r="R52" s="100">
        <f t="shared" si="2"/>
        <v>0</v>
      </c>
      <c r="S52" s="8"/>
      <c r="T52" s="25"/>
      <c r="U52" s="112">
        <f t="shared" si="3"/>
        <v>0</v>
      </c>
      <c r="V52" s="127"/>
      <c r="W52" s="93"/>
      <c r="X52" s="93"/>
      <c r="Y52" s="69"/>
      <c r="Z52" s="77">
        <f t="shared" si="4"/>
        <v>0</v>
      </c>
      <c r="AA52" s="100">
        <f t="shared" si="5"/>
        <v>0</v>
      </c>
      <c r="AB52" s="127"/>
      <c r="AC52" s="77"/>
      <c r="AD52" s="128">
        <f t="shared" si="6"/>
        <v>0</v>
      </c>
    </row>
    <row r="53" spans="1:30" x14ac:dyDescent="0.15">
      <c r="A53" s="24"/>
      <c r="B53" s="3"/>
      <c r="C53" s="3"/>
      <c r="D53" s="3"/>
      <c r="E53" s="3" t="s">
        <v>148</v>
      </c>
      <c r="F53" s="3"/>
      <c r="G53" s="93">
        <v>1174463</v>
      </c>
      <c r="H53" s="9"/>
      <c r="I53" s="93">
        <v>1174463</v>
      </c>
      <c r="J53" s="13"/>
      <c r="K53" s="112">
        <f t="shared" si="0"/>
        <v>1174463</v>
      </c>
      <c r="L53" s="59"/>
      <c r="M53" s="77"/>
      <c r="N53" s="59">
        <v>638982</v>
      </c>
      <c r="O53" s="69">
        <v>0</v>
      </c>
      <c r="P53" s="81">
        <v>1152506</v>
      </c>
      <c r="Q53" s="81"/>
      <c r="R53" s="100">
        <f t="shared" si="2"/>
        <v>1791488</v>
      </c>
      <c r="S53" s="8"/>
      <c r="T53" s="25"/>
      <c r="U53" s="112">
        <f t="shared" si="3"/>
        <v>2965951</v>
      </c>
      <c r="V53" s="127"/>
      <c r="W53" s="93">
        <v>5000</v>
      </c>
      <c r="X53" s="93">
        <v>56583</v>
      </c>
      <c r="Y53" s="69">
        <v>19521</v>
      </c>
      <c r="Z53" s="77">
        <f t="shared" si="4"/>
        <v>76104</v>
      </c>
      <c r="AA53" s="100">
        <f t="shared" si="5"/>
        <v>81104</v>
      </c>
      <c r="AB53" s="127"/>
      <c r="AC53" s="77"/>
      <c r="AD53" s="128">
        <f t="shared" si="6"/>
        <v>3047055</v>
      </c>
    </row>
    <row r="54" spans="1:30" x14ac:dyDescent="0.15">
      <c r="A54" s="24"/>
      <c r="B54" s="3"/>
      <c r="C54" s="3"/>
      <c r="D54" s="3" t="s">
        <v>148</v>
      </c>
      <c r="E54" s="3"/>
      <c r="F54" s="3"/>
      <c r="G54" s="93">
        <v>0</v>
      </c>
      <c r="H54" s="9"/>
      <c r="I54" s="93">
        <v>0</v>
      </c>
      <c r="J54" s="13"/>
      <c r="K54" s="112">
        <f t="shared" si="0"/>
        <v>0</v>
      </c>
      <c r="L54" s="59"/>
      <c r="M54" s="77">
        <v>290681</v>
      </c>
      <c r="N54" s="59"/>
      <c r="O54" s="69"/>
      <c r="P54" s="81">
        <v>0</v>
      </c>
      <c r="Q54" s="81"/>
      <c r="R54" s="100">
        <f t="shared" si="2"/>
        <v>290681</v>
      </c>
      <c r="S54" s="8"/>
      <c r="T54" s="25"/>
      <c r="U54" s="112">
        <f t="shared" si="3"/>
        <v>290681</v>
      </c>
      <c r="V54" s="127"/>
      <c r="W54" s="93"/>
      <c r="X54" s="93"/>
      <c r="Y54" s="69">
        <v>12</v>
      </c>
      <c r="Z54" s="77">
        <f t="shared" si="4"/>
        <v>12</v>
      </c>
      <c r="AA54" s="100">
        <f t="shared" si="5"/>
        <v>12</v>
      </c>
      <c r="AB54" s="127"/>
      <c r="AC54" s="77"/>
      <c r="AD54" s="128">
        <f t="shared" si="6"/>
        <v>290693</v>
      </c>
    </row>
    <row r="55" spans="1:30" x14ac:dyDescent="0.15">
      <c r="A55" s="24"/>
      <c r="B55" s="3"/>
      <c r="C55" s="3"/>
      <c r="D55" s="3" t="s">
        <v>166</v>
      </c>
      <c r="E55" s="3"/>
      <c r="F55" s="3"/>
      <c r="G55" s="93">
        <v>-217609</v>
      </c>
      <c r="H55" s="9"/>
      <c r="I55" s="93">
        <v>-217609</v>
      </c>
      <c r="J55" s="13"/>
      <c r="K55" s="112">
        <f t="shared" si="0"/>
        <v>-217609</v>
      </c>
      <c r="L55" s="59">
        <v>-1600</v>
      </c>
      <c r="M55" s="77">
        <v>-89584</v>
      </c>
      <c r="N55" s="59">
        <v>-259934</v>
      </c>
      <c r="O55" s="69">
        <v>-3451</v>
      </c>
      <c r="P55" s="81">
        <v>-25631</v>
      </c>
      <c r="Q55" s="81"/>
      <c r="R55" s="100">
        <f t="shared" si="2"/>
        <v>-380200</v>
      </c>
      <c r="S55" s="8"/>
      <c r="T55" s="25"/>
      <c r="U55" s="112">
        <f t="shared" si="3"/>
        <v>-597809</v>
      </c>
      <c r="V55" s="127"/>
      <c r="W55" s="93"/>
      <c r="X55" s="93"/>
      <c r="Y55" s="69"/>
      <c r="Z55" s="77">
        <f t="shared" si="4"/>
        <v>0</v>
      </c>
      <c r="AA55" s="100">
        <f t="shared" si="5"/>
        <v>0</v>
      </c>
      <c r="AB55" s="127"/>
      <c r="AC55" s="77"/>
      <c r="AD55" s="128">
        <f t="shared" si="6"/>
        <v>-597809</v>
      </c>
    </row>
    <row r="56" spans="1:30" x14ac:dyDescent="0.15">
      <c r="A56" s="24"/>
      <c r="B56" s="3" t="s">
        <v>73</v>
      </c>
      <c r="C56" s="3"/>
      <c r="D56" s="3"/>
      <c r="E56" s="3"/>
      <c r="F56" s="3"/>
      <c r="G56" s="93">
        <f>7338360+190506</f>
        <v>7528866</v>
      </c>
      <c r="H56" s="9"/>
      <c r="I56" s="93">
        <f>7338360+190506</f>
        <v>7528866</v>
      </c>
      <c r="J56" s="13"/>
      <c r="K56" s="112">
        <f t="shared" si="0"/>
        <v>7528866</v>
      </c>
      <c r="L56" s="59">
        <f>L57+L58+L59+L60+L63+L64+L65</f>
        <v>2178286.2220000001</v>
      </c>
      <c r="M56" s="77">
        <v>5194122</v>
      </c>
      <c r="N56" s="59">
        <v>874805</v>
      </c>
      <c r="O56" s="69">
        <v>17526</v>
      </c>
      <c r="P56" s="81">
        <v>440384</v>
      </c>
      <c r="Q56" s="81"/>
      <c r="R56" s="100">
        <f t="shared" si="2"/>
        <v>8705123.2219999991</v>
      </c>
      <c r="S56" s="8">
        <v>-1</v>
      </c>
      <c r="T56" s="107">
        <v>-18895</v>
      </c>
      <c r="U56" s="112">
        <f>K56+R56+T56+S56</f>
        <v>16215093.221999999</v>
      </c>
      <c r="V56" s="127">
        <v>1136254</v>
      </c>
      <c r="W56" s="93">
        <v>15621</v>
      </c>
      <c r="X56" s="93">
        <v>230438</v>
      </c>
      <c r="Y56" s="69">
        <v>250762</v>
      </c>
      <c r="Z56" s="77">
        <f t="shared" si="4"/>
        <v>481200</v>
      </c>
      <c r="AA56" s="100">
        <f t="shared" si="5"/>
        <v>1633075</v>
      </c>
      <c r="AB56" s="127"/>
      <c r="AC56" s="77">
        <v>-2698</v>
      </c>
      <c r="AD56" s="128">
        <f t="shared" si="6"/>
        <v>17845470.221999999</v>
      </c>
    </row>
    <row r="57" spans="1:30" x14ac:dyDescent="0.15">
      <c r="A57" s="24"/>
      <c r="B57" s="3"/>
      <c r="C57" s="3" t="s">
        <v>74</v>
      </c>
      <c r="D57" s="3"/>
      <c r="E57" s="3"/>
      <c r="F57" s="3"/>
      <c r="G57" s="93">
        <v>2975125</v>
      </c>
      <c r="H57" s="9"/>
      <c r="I57" s="93">
        <v>2975125</v>
      </c>
      <c r="J57" s="13"/>
      <c r="K57" s="112">
        <f t="shared" si="0"/>
        <v>2975125</v>
      </c>
      <c r="L57" s="59">
        <v>1466635.2220000001</v>
      </c>
      <c r="M57" s="77">
        <v>3667506</v>
      </c>
      <c r="N57" s="59">
        <v>662278</v>
      </c>
      <c r="O57" s="69">
        <v>7543</v>
      </c>
      <c r="P57" s="81">
        <v>434611</v>
      </c>
      <c r="Q57" s="81"/>
      <c r="R57" s="100">
        <f t="shared" si="2"/>
        <v>6238573.2220000001</v>
      </c>
      <c r="S57" s="8">
        <v>-1</v>
      </c>
      <c r="T57" s="25"/>
      <c r="U57" s="112">
        <f>K57+R57+T57+S57</f>
        <v>9213697.2219999991</v>
      </c>
      <c r="V57" s="127">
        <v>1127000</v>
      </c>
      <c r="W57" s="93">
        <v>15621</v>
      </c>
      <c r="X57" s="93">
        <v>229304</v>
      </c>
      <c r="Y57" s="69">
        <v>238003</v>
      </c>
      <c r="Z57" s="77">
        <f t="shared" si="4"/>
        <v>467307</v>
      </c>
      <c r="AA57" s="100">
        <f t="shared" si="5"/>
        <v>1609928</v>
      </c>
      <c r="AB57" s="127"/>
      <c r="AC57" s="77"/>
      <c r="AD57" s="128">
        <f>U57+AA57+AB57+AC57</f>
        <v>10823625.221999999</v>
      </c>
    </row>
    <row r="58" spans="1:30" x14ac:dyDescent="0.15">
      <c r="A58" s="24"/>
      <c r="B58" s="3"/>
      <c r="C58" s="3" t="s">
        <v>75</v>
      </c>
      <c r="D58" s="3"/>
      <c r="E58" s="3"/>
      <c r="F58" s="3"/>
      <c r="G58" s="93">
        <v>333510</v>
      </c>
      <c r="H58" s="9"/>
      <c r="I58" s="93">
        <v>333510</v>
      </c>
      <c r="J58" s="13"/>
      <c r="K58" s="112">
        <f t="shared" si="0"/>
        <v>333510</v>
      </c>
      <c r="L58" s="59">
        <v>571481</v>
      </c>
      <c r="M58" s="77">
        <v>1466467</v>
      </c>
      <c r="N58" s="59">
        <v>470036</v>
      </c>
      <c r="O58" s="69">
        <v>15702</v>
      </c>
      <c r="P58" s="81">
        <v>30687</v>
      </c>
      <c r="Q58" s="81"/>
      <c r="R58" s="100">
        <f t="shared" si="2"/>
        <v>2554373</v>
      </c>
      <c r="S58" s="8"/>
      <c r="T58" s="107">
        <v>-18895</v>
      </c>
      <c r="U58" s="112">
        <f t="shared" si="3"/>
        <v>2868988</v>
      </c>
      <c r="V58" s="127">
        <v>2184</v>
      </c>
      <c r="W58" s="93"/>
      <c r="X58" s="93">
        <v>1134</v>
      </c>
      <c r="Y58" s="69">
        <v>10931</v>
      </c>
      <c r="Z58" s="77">
        <f t="shared" si="4"/>
        <v>12065</v>
      </c>
      <c r="AA58" s="100">
        <f t="shared" si="5"/>
        <v>14249</v>
      </c>
      <c r="AB58" s="127"/>
      <c r="AC58" s="77">
        <v>-2698</v>
      </c>
      <c r="AD58" s="128">
        <f t="shared" si="6"/>
        <v>2880539</v>
      </c>
    </row>
    <row r="59" spans="1:30" x14ac:dyDescent="0.15">
      <c r="A59" s="24"/>
      <c r="B59" s="3"/>
      <c r="C59" s="3" t="s">
        <v>76</v>
      </c>
      <c r="D59" s="3"/>
      <c r="E59" s="3"/>
      <c r="F59" s="3"/>
      <c r="G59" s="93">
        <v>0</v>
      </c>
      <c r="H59" s="9"/>
      <c r="I59" s="93">
        <v>0</v>
      </c>
      <c r="J59" s="13"/>
      <c r="K59" s="112">
        <f t="shared" si="0"/>
        <v>0</v>
      </c>
      <c r="L59" s="59"/>
      <c r="M59" s="77"/>
      <c r="N59" s="59"/>
      <c r="O59" s="69"/>
      <c r="P59" s="81"/>
      <c r="Q59" s="81"/>
      <c r="R59" s="100">
        <f t="shared" si="2"/>
        <v>0</v>
      </c>
      <c r="S59" s="8"/>
      <c r="T59" s="25"/>
      <c r="U59" s="112">
        <f t="shared" si="3"/>
        <v>0</v>
      </c>
      <c r="V59" s="127">
        <v>0</v>
      </c>
      <c r="W59" s="93"/>
      <c r="X59" s="93"/>
      <c r="Y59" s="69"/>
      <c r="Z59" s="77">
        <f t="shared" si="4"/>
        <v>0</v>
      </c>
      <c r="AA59" s="100">
        <f t="shared" si="5"/>
        <v>0</v>
      </c>
      <c r="AB59" s="127"/>
      <c r="AC59" s="77"/>
      <c r="AD59" s="128">
        <f t="shared" si="6"/>
        <v>0</v>
      </c>
    </row>
    <row r="60" spans="1:30" x14ac:dyDescent="0.15">
      <c r="A60" s="24"/>
      <c r="B60" s="3"/>
      <c r="C60" s="3" t="s">
        <v>77</v>
      </c>
      <c r="D60" s="3"/>
      <c r="E60" s="3"/>
      <c r="F60" s="3"/>
      <c r="G60" s="93">
        <v>4312985</v>
      </c>
      <c r="H60" s="9"/>
      <c r="I60" s="93">
        <v>4312985</v>
      </c>
      <c r="J60" s="13"/>
      <c r="K60" s="112">
        <f t="shared" si="0"/>
        <v>4312985</v>
      </c>
      <c r="L60" s="59"/>
      <c r="M60" s="77"/>
      <c r="N60" s="59"/>
      <c r="O60" s="69"/>
      <c r="P60" s="81"/>
      <c r="Q60" s="81"/>
      <c r="R60" s="100">
        <f t="shared" si="2"/>
        <v>0</v>
      </c>
      <c r="S60" s="8"/>
      <c r="T60" s="25"/>
      <c r="U60" s="112">
        <f t="shared" si="3"/>
        <v>4312985</v>
      </c>
      <c r="V60" s="127">
        <v>7070</v>
      </c>
      <c r="W60" s="93"/>
      <c r="X60" s="93"/>
      <c r="Y60" s="69"/>
      <c r="Z60" s="77">
        <f t="shared" si="4"/>
        <v>0</v>
      </c>
      <c r="AA60" s="100">
        <f t="shared" si="5"/>
        <v>7070</v>
      </c>
      <c r="AB60" s="127"/>
      <c r="AC60" s="77"/>
      <c r="AD60" s="128">
        <f t="shared" si="6"/>
        <v>4320055</v>
      </c>
    </row>
    <row r="61" spans="1:30" x14ac:dyDescent="0.15">
      <c r="A61" s="24"/>
      <c r="B61" s="3"/>
      <c r="C61" s="3"/>
      <c r="D61" s="3" t="s">
        <v>5</v>
      </c>
      <c r="E61" s="3"/>
      <c r="F61" s="3"/>
      <c r="G61" s="93">
        <v>4312985</v>
      </c>
      <c r="H61" s="9"/>
      <c r="I61" s="93">
        <v>4312985</v>
      </c>
      <c r="J61" s="13"/>
      <c r="K61" s="112">
        <f t="shared" si="0"/>
        <v>4312985</v>
      </c>
      <c r="L61" s="59"/>
      <c r="M61" s="77"/>
      <c r="N61" s="59"/>
      <c r="O61" s="69"/>
      <c r="P61" s="81"/>
      <c r="Q61" s="81"/>
      <c r="R61" s="100">
        <f t="shared" si="2"/>
        <v>0</v>
      </c>
      <c r="S61" s="8"/>
      <c r="T61" s="25"/>
      <c r="U61" s="112">
        <f t="shared" si="3"/>
        <v>4312985</v>
      </c>
      <c r="V61" s="127">
        <v>7070</v>
      </c>
      <c r="W61" s="93"/>
      <c r="X61" s="93"/>
      <c r="Y61" s="69"/>
      <c r="Z61" s="77">
        <f t="shared" si="4"/>
        <v>0</v>
      </c>
      <c r="AA61" s="100">
        <f t="shared" si="5"/>
        <v>7070</v>
      </c>
      <c r="AB61" s="127"/>
      <c r="AC61" s="77"/>
      <c r="AD61" s="128">
        <f t="shared" si="6"/>
        <v>4320055</v>
      </c>
    </row>
    <row r="62" spans="1:30" x14ac:dyDescent="0.15">
      <c r="A62" s="24"/>
      <c r="B62" s="3"/>
      <c r="C62" s="3"/>
      <c r="D62" s="3" t="s">
        <v>4</v>
      </c>
      <c r="E62" s="3"/>
      <c r="F62" s="3"/>
      <c r="G62" s="93">
        <v>0</v>
      </c>
      <c r="H62" s="9"/>
      <c r="I62" s="93">
        <v>0</v>
      </c>
      <c r="J62" s="13"/>
      <c r="K62" s="112">
        <f t="shared" si="0"/>
        <v>0</v>
      </c>
      <c r="L62" s="59"/>
      <c r="M62" s="77"/>
      <c r="N62" s="59"/>
      <c r="O62" s="69"/>
      <c r="P62" s="81"/>
      <c r="Q62" s="81"/>
      <c r="R62" s="100">
        <f t="shared" si="2"/>
        <v>0</v>
      </c>
      <c r="S62" s="8"/>
      <c r="T62" s="25"/>
      <c r="U62" s="112">
        <f t="shared" si="3"/>
        <v>0</v>
      </c>
      <c r="V62" s="127"/>
      <c r="W62" s="93"/>
      <c r="X62" s="93"/>
      <c r="Y62" s="69"/>
      <c r="Z62" s="77">
        <f t="shared" si="4"/>
        <v>0</v>
      </c>
      <c r="AA62" s="100">
        <f t="shared" si="5"/>
        <v>0</v>
      </c>
      <c r="AB62" s="127"/>
      <c r="AC62" s="77"/>
      <c r="AD62" s="128">
        <f t="shared" si="6"/>
        <v>0</v>
      </c>
    </row>
    <row r="63" spans="1:30" x14ac:dyDescent="0.15">
      <c r="A63" s="24"/>
      <c r="B63" s="3"/>
      <c r="C63" s="3" t="s">
        <v>78</v>
      </c>
      <c r="D63" s="3"/>
      <c r="E63" s="3"/>
      <c r="F63" s="3"/>
      <c r="G63" s="93">
        <v>0</v>
      </c>
      <c r="H63" s="9"/>
      <c r="I63" s="93">
        <v>0</v>
      </c>
      <c r="J63" s="13"/>
      <c r="K63" s="112">
        <f t="shared" si="0"/>
        <v>0</v>
      </c>
      <c r="L63" s="59"/>
      <c r="M63" s="77">
        <v>62482</v>
      </c>
      <c r="N63" s="59"/>
      <c r="O63" s="69"/>
      <c r="P63" s="81"/>
      <c r="Q63" s="81"/>
      <c r="R63" s="100">
        <f t="shared" si="2"/>
        <v>62482</v>
      </c>
      <c r="S63" s="8"/>
      <c r="T63" s="25"/>
      <c r="U63" s="112">
        <f t="shared" si="3"/>
        <v>62482</v>
      </c>
      <c r="V63" s="127"/>
      <c r="W63" s="93"/>
      <c r="X63" s="93"/>
      <c r="Y63" s="69"/>
      <c r="Z63" s="77">
        <f t="shared" si="4"/>
        <v>0</v>
      </c>
      <c r="AA63" s="100">
        <f t="shared" si="5"/>
        <v>0</v>
      </c>
      <c r="AB63" s="127"/>
      <c r="AC63" s="77"/>
      <c r="AD63" s="128">
        <f t="shared" si="6"/>
        <v>62482</v>
      </c>
    </row>
    <row r="64" spans="1:30" x14ac:dyDescent="0.15">
      <c r="A64" s="24"/>
      <c r="B64" s="3"/>
      <c r="C64" s="3" t="s">
        <v>79</v>
      </c>
      <c r="D64" s="3"/>
      <c r="E64" s="3"/>
      <c r="F64" s="3"/>
      <c r="G64" s="93">
        <v>0</v>
      </c>
      <c r="H64" s="9"/>
      <c r="I64" s="93">
        <v>0</v>
      </c>
      <c r="J64" s="13"/>
      <c r="K64" s="112">
        <f t="shared" si="0"/>
        <v>0</v>
      </c>
      <c r="L64" s="59">
        <v>140170</v>
      </c>
      <c r="M64" s="77"/>
      <c r="N64" s="59"/>
      <c r="O64" s="69"/>
      <c r="P64" s="81"/>
      <c r="Q64" s="81"/>
      <c r="R64" s="100">
        <f t="shared" si="2"/>
        <v>140170</v>
      </c>
      <c r="S64" s="8"/>
      <c r="T64" s="25"/>
      <c r="U64" s="112">
        <f t="shared" si="3"/>
        <v>140170</v>
      </c>
      <c r="V64" s="127"/>
      <c r="W64" s="93"/>
      <c r="X64" s="93"/>
      <c r="Y64" s="69">
        <v>1828</v>
      </c>
      <c r="Z64" s="77">
        <f t="shared" si="4"/>
        <v>1828</v>
      </c>
      <c r="AA64" s="100">
        <f t="shared" si="5"/>
        <v>1828</v>
      </c>
      <c r="AB64" s="127"/>
      <c r="AC64" s="77"/>
      <c r="AD64" s="128">
        <f t="shared" si="6"/>
        <v>141998</v>
      </c>
    </row>
    <row r="65" spans="1:30" x14ac:dyDescent="0.15">
      <c r="A65" s="26"/>
      <c r="B65" s="1"/>
      <c r="C65" s="1" t="s">
        <v>72</v>
      </c>
      <c r="D65" s="1"/>
      <c r="E65" s="1"/>
      <c r="F65" s="1"/>
      <c r="G65" s="94">
        <v>-92754</v>
      </c>
      <c r="H65" s="28"/>
      <c r="I65" s="94">
        <v>-92754</v>
      </c>
      <c r="J65" s="29"/>
      <c r="K65" s="113">
        <f t="shared" si="0"/>
        <v>-92754</v>
      </c>
      <c r="L65" s="62"/>
      <c r="M65" s="78">
        <v>-2333</v>
      </c>
      <c r="N65" s="62">
        <v>-257509</v>
      </c>
      <c r="O65" s="82">
        <v>-5719</v>
      </c>
      <c r="P65" s="83">
        <v>-24914</v>
      </c>
      <c r="Q65" s="83"/>
      <c r="R65" s="101">
        <f t="shared" si="2"/>
        <v>-290475</v>
      </c>
      <c r="S65" s="27"/>
      <c r="T65" s="30"/>
      <c r="U65" s="113">
        <f t="shared" si="3"/>
        <v>-383229</v>
      </c>
      <c r="V65" s="129"/>
      <c r="W65" s="94"/>
      <c r="X65" s="94">
        <v>0</v>
      </c>
      <c r="Y65" s="82"/>
      <c r="Z65" s="78">
        <f t="shared" si="4"/>
        <v>0</v>
      </c>
      <c r="AA65" s="101">
        <f t="shared" si="5"/>
        <v>0</v>
      </c>
      <c r="AB65" s="127"/>
      <c r="AC65" s="77"/>
      <c r="AD65" s="130">
        <f t="shared" si="6"/>
        <v>-383229</v>
      </c>
    </row>
    <row r="66" spans="1:30" x14ac:dyDescent="0.15">
      <c r="A66" s="31"/>
      <c r="B66" s="2" t="s">
        <v>80</v>
      </c>
      <c r="C66" s="2"/>
      <c r="D66" s="2"/>
      <c r="E66" s="2"/>
      <c r="F66" s="2"/>
      <c r="G66" s="95"/>
      <c r="H66" s="33"/>
      <c r="I66" s="95"/>
      <c r="J66" s="34"/>
      <c r="K66" s="114">
        <f t="shared" si="0"/>
        <v>0</v>
      </c>
      <c r="L66" s="63"/>
      <c r="M66" s="79"/>
      <c r="N66" s="63"/>
      <c r="O66" s="71"/>
      <c r="P66" s="84"/>
      <c r="Q66" s="84"/>
      <c r="R66" s="102">
        <f t="shared" si="2"/>
        <v>0</v>
      </c>
      <c r="S66" s="32"/>
      <c r="T66" s="36"/>
      <c r="U66" s="114">
        <f t="shared" si="3"/>
        <v>0</v>
      </c>
      <c r="V66" s="131"/>
      <c r="W66" s="95"/>
      <c r="X66" s="95"/>
      <c r="Y66" s="71"/>
      <c r="Z66" s="79">
        <f t="shared" si="4"/>
        <v>0</v>
      </c>
      <c r="AA66" s="102">
        <f t="shared" si="5"/>
        <v>0</v>
      </c>
      <c r="AB66" s="132"/>
      <c r="AC66" s="79"/>
      <c r="AD66" s="133">
        <f t="shared" si="6"/>
        <v>0</v>
      </c>
    </row>
    <row r="67" spans="1:30" x14ac:dyDescent="0.15">
      <c r="A67" s="37" t="s">
        <v>81</v>
      </c>
      <c r="B67" s="22"/>
      <c r="C67" s="22"/>
      <c r="D67" s="22"/>
      <c r="E67" s="22"/>
      <c r="F67" s="22"/>
      <c r="G67" s="92">
        <f>G68+G87</f>
        <v>206622225</v>
      </c>
      <c r="H67" s="7"/>
      <c r="I67" s="92">
        <f>I68+I87</f>
        <v>206622225</v>
      </c>
      <c r="J67" s="100"/>
      <c r="K67" s="115">
        <f>K68+K87</f>
        <v>206622225</v>
      </c>
      <c r="L67" s="61">
        <f t="shared" ref="L67" si="9">L68+L87</f>
        <v>77116225.208999991</v>
      </c>
      <c r="M67" s="76">
        <f>M68+M87</f>
        <v>16371645</v>
      </c>
      <c r="N67" s="61">
        <f>N68+N87</f>
        <v>1728315</v>
      </c>
      <c r="O67" s="70">
        <f>O68+O87</f>
        <v>23548</v>
      </c>
      <c r="P67" s="85">
        <f>P68+P87</f>
        <v>1598830</v>
      </c>
      <c r="Q67" s="85">
        <f>Q68+Q87</f>
        <v>10032</v>
      </c>
      <c r="R67" s="103">
        <f>SUM(L67:Q67)</f>
        <v>96848595.208999991</v>
      </c>
      <c r="S67" s="6"/>
      <c r="T67" s="107">
        <f>-6017690-18895</f>
        <v>-6036585</v>
      </c>
      <c r="U67" s="115">
        <f>K67+R67+T67</f>
        <v>297434235.20899999</v>
      </c>
      <c r="V67" s="124">
        <v>1293077</v>
      </c>
      <c r="W67" s="92">
        <v>778553</v>
      </c>
      <c r="X67" s="92">
        <v>588727</v>
      </c>
      <c r="Y67" s="70">
        <v>293190</v>
      </c>
      <c r="Z67" s="76">
        <f t="shared" si="4"/>
        <v>881917</v>
      </c>
      <c r="AA67" s="103">
        <f t="shared" si="5"/>
        <v>2953547</v>
      </c>
      <c r="AB67" s="124"/>
      <c r="AC67" s="76">
        <f>-308000-2698</f>
        <v>-310698</v>
      </c>
      <c r="AD67" s="126">
        <f t="shared" si="6"/>
        <v>300077084.20899999</v>
      </c>
    </row>
    <row r="68" spans="1:30" x14ac:dyDescent="0.15">
      <c r="A68" s="24"/>
      <c r="B68" s="3" t="s">
        <v>82</v>
      </c>
      <c r="C68" s="3"/>
      <c r="D68" s="3"/>
      <c r="E68" s="3"/>
      <c r="F68" s="3"/>
      <c r="G68" s="93">
        <f>64796132+190506</f>
        <v>64986638</v>
      </c>
      <c r="H68" s="9"/>
      <c r="I68" s="93">
        <f>64796132+190506</f>
        <v>64986638</v>
      </c>
      <c r="J68" s="13"/>
      <c r="K68" s="112">
        <f t="shared" si="0"/>
        <v>64986638</v>
      </c>
      <c r="L68" s="60">
        <f>L69+L75+L84</f>
        <v>54617810.208999999</v>
      </c>
      <c r="M68" s="77">
        <v>12825247</v>
      </c>
      <c r="N68" s="59">
        <v>12404</v>
      </c>
      <c r="O68" s="69">
        <v>3341</v>
      </c>
      <c r="P68" s="81">
        <v>16751</v>
      </c>
      <c r="Q68" s="81">
        <v>130953</v>
      </c>
      <c r="R68" s="100">
        <f t="shared" si="2"/>
        <v>67606506.208999991</v>
      </c>
      <c r="S68" s="8"/>
      <c r="T68" s="107">
        <v>-18895</v>
      </c>
      <c r="U68" s="112">
        <f>K68+R68+T68</f>
        <v>132574249.20899999</v>
      </c>
      <c r="V68" s="127">
        <v>0</v>
      </c>
      <c r="W68" s="93">
        <v>1988416</v>
      </c>
      <c r="X68" s="93">
        <v>110301</v>
      </c>
      <c r="Y68" s="69">
        <v>57823</v>
      </c>
      <c r="Z68" s="77">
        <f t="shared" si="4"/>
        <v>168124</v>
      </c>
      <c r="AA68" s="100">
        <f t="shared" si="5"/>
        <v>2156540</v>
      </c>
      <c r="AB68" s="127"/>
      <c r="AC68" s="77">
        <v>-2698</v>
      </c>
      <c r="AD68" s="128">
        <f>U68+AA68+AB68+AC68</f>
        <v>134728091.20899999</v>
      </c>
    </row>
    <row r="69" spans="1:30" x14ac:dyDescent="0.15">
      <c r="A69" s="24"/>
      <c r="B69" s="3"/>
      <c r="C69" s="3" t="s">
        <v>83</v>
      </c>
      <c r="D69" s="3"/>
      <c r="E69" s="3"/>
      <c r="F69" s="3"/>
      <c r="G69" s="93">
        <v>60087284</v>
      </c>
      <c r="H69" s="9"/>
      <c r="I69" s="93">
        <v>60087284</v>
      </c>
      <c r="J69" s="13"/>
      <c r="K69" s="112">
        <f t="shared" si="0"/>
        <v>60087284</v>
      </c>
      <c r="L69" s="59">
        <f>SUM(L70:L74)</f>
        <v>30893240.568999998</v>
      </c>
      <c r="M69" s="77">
        <v>10596289</v>
      </c>
      <c r="N69" s="59"/>
      <c r="O69" s="69"/>
      <c r="P69" s="81"/>
      <c r="Q69" s="81">
        <v>86646</v>
      </c>
      <c r="R69" s="100">
        <f t="shared" si="2"/>
        <v>41576175.568999998</v>
      </c>
      <c r="S69" s="8"/>
      <c r="T69" s="25"/>
      <c r="U69" s="112">
        <f t="shared" si="3"/>
        <v>101663459.56900001</v>
      </c>
      <c r="V69" s="127">
        <v>0</v>
      </c>
      <c r="W69" s="93">
        <v>0</v>
      </c>
      <c r="X69" s="93">
        <v>56583</v>
      </c>
      <c r="Y69" s="69">
        <v>18621</v>
      </c>
      <c r="Z69" s="77">
        <f t="shared" si="4"/>
        <v>75204</v>
      </c>
      <c r="AA69" s="100">
        <f t="shared" si="5"/>
        <v>75204</v>
      </c>
      <c r="AB69" s="127"/>
      <c r="AC69" s="77"/>
      <c r="AD69" s="128">
        <f t="shared" si="6"/>
        <v>101738663.56900001</v>
      </c>
    </row>
    <row r="70" spans="1:30" x14ac:dyDescent="0.15">
      <c r="A70" s="24"/>
      <c r="B70" s="3"/>
      <c r="C70" s="3"/>
      <c r="D70" s="3" t="s">
        <v>60</v>
      </c>
      <c r="E70" s="3"/>
      <c r="F70" s="3"/>
      <c r="G70" s="93">
        <v>50419805</v>
      </c>
      <c r="H70" s="9"/>
      <c r="I70" s="93">
        <v>50419805</v>
      </c>
      <c r="J70" s="13"/>
      <c r="K70" s="112">
        <f t="shared" si="0"/>
        <v>50419805</v>
      </c>
      <c r="L70" s="59">
        <v>30893240.568999998</v>
      </c>
      <c r="M70" s="77">
        <v>8633329</v>
      </c>
      <c r="N70" s="59"/>
      <c r="O70" s="69"/>
      <c r="P70" s="81"/>
      <c r="Q70" s="81">
        <v>86646</v>
      </c>
      <c r="R70" s="100">
        <f t="shared" si="2"/>
        <v>39613215.568999998</v>
      </c>
      <c r="S70" s="8"/>
      <c r="T70" s="25"/>
      <c r="U70" s="112">
        <f t="shared" si="3"/>
        <v>90033020.569000006</v>
      </c>
      <c r="V70" s="127"/>
      <c r="W70" s="93"/>
      <c r="X70" s="93"/>
      <c r="Y70" s="69"/>
      <c r="Z70" s="77">
        <f t="shared" si="4"/>
        <v>0</v>
      </c>
      <c r="AA70" s="100">
        <f t="shared" si="5"/>
        <v>0</v>
      </c>
      <c r="AB70" s="127"/>
      <c r="AC70" s="77"/>
      <c r="AD70" s="128">
        <f t="shared" si="6"/>
        <v>90033020.569000006</v>
      </c>
    </row>
    <row r="71" spans="1:30" x14ac:dyDescent="0.15">
      <c r="A71" s="24"/>
      <c r="B71" s="3"/>
      <c r="C71" s="3"/>
      <c r="D71" s="3" t="s">
        <v>84</v>
      </c>
      <c r="E71" s="3"/>
      <c r="F71" s="3"/>
      <c r="G71" s="93">
        <v>0</v>
      </c>
      <c r="H71" s="9"/>
      <c r="I71" s="93">
        <v>0</v>
      </c>
      <c r="J71" s="13"/>
      <c r="K71" s="112">
        <f t="shared" si="0"/>
        <v>0</v>
      </c>
      <c r="L71" s="59"/>
      <c r="M71" s="77"/>
      <c r="N71" s="59"/>
      <c r="O71" s="69"/>
      <c r="P71" s="81"/>
      <c r="Q71" s="81"/>
      <c r="R71" s="100">
        <f t="shared" si="2"/>
        <v>0</v>
      </c>
      <c r="S71" s="8"/>
      <c r="T71" s="25"/>
      <c r="U71" s="112">
        <f t="shared" si="3"/>
        <v>0</v>
      </c>
      <c r="V71" s="127"/>
      <c r="W71" s="93"/>
      <c r="X71" s="93"/>
      <c r="Y71" s="69"/>
      <c r="Z71" s="77">
        <f t="shared" si="4"/>
        <v>0</v>
      </c>
      <c r="AA71" s="100">
        <f t="shared" si="5"/>
        <v>0</v>
      </c>
      <c r="AB71" s="127"/>
      <c r="AC71" s="77"/>
      <c r="AD71" s="128">
        <f t="shared" si="6"/>
        <v>0</v>
      </c>
    </row>
    <row r="72" spans="1:30" x14ac:dyDescent="0.15">
      <c r="A72" s="24"/>
      <c r="B72" s="3"/>
      <c r="C72" s="3"/>
      <c r="D72" s="3" t="s">
        <v>85</v>
      </c>
      <c r="E72" s="3"/>
      <c r="F72" s="3"/>
      <c r="G72" s="93">
        <v>9667479</v>
      </c>
      <c r="H72" s="9"/>
      <c r="I72" s="93">
        <v>9667479</v>
      </c>
      <c r="J72" s="13"/>
      <c r="K72" s="112">
        <f t="shared" si="0"/>
        <v>9667479</v>
      </c>
      <c r="L72" s="59">
        <v>0</v>
      </c>
      <c r="M72" s="77">
        <v>1515812</v>
      </c>
      <c r="N72" s="59"/>
      <c r="O72" s="69"/>
      <c r="P72" s="81"/>
      <c r="Q72" s="81"/>
      <c r="R72" s="100">
        <f t="shared" si="2"/>
        <v>1515812</v>
      </c>
      <c r="S72" s="8"/>
      <c r="T72" s="25"/>
      <c r="U72" s="112">
        <f t="shared" si="3"/>
        <v>11183291</v>
      </c>
      <c r="V72" s="127"/>
      <c r="W72" s="93"/>
      <c r="X72" s="93">
        <v>35995</v>
      </c>
      <c r="Y72" s="69">
        <v>18621</v>
      </c>
      <c r="Z72" s="77">
        <f t="shared" si="4"/>
        <v>54616</v>
      </c>
      <c r="AA72" s="100">
        <f t="shared" si="5"/>
        <v>54616</v>
      </c>
      <c r="AB72" s="127"/>
      <c r="AC72" s="77"/>
      <c r="AD72" s="128">
        <f t="shared" si="6"/>
        <v>11237907</v>
      </c>
    </row>
    <row r="73" spans="1:30" x14ac:dyDescent="0.15">
      <c r="A73" s="24"/>
      <c r="B73" s="3"/>
      <c r="C73" s="3"/>
      <c r="D73" s="3" t="s">
        <v>86</v>
      </c>
      <c r="E73" s="3"/>
      <c r="F73" s="3"/>
      <c r="G73" s="93">
        <v>0</v>
      </c>
      <c r="H73" s="9"/>
      <c r="I73" s="93">
        <v>0</v>
      </c>
      <c r="J73" s="13"/>
      <c r="K73" s="112">
        <f t="shared" si="0"/>
        <v>0</v>
      </c>
      <c r="L73" s="59"/>
      <c r="M73" s="77"/>
      <c r="N73" s="59"/>
      <c r="O73" s="69"/>
      <c r="P73" s="81"/>
      <c r="Q73" s="81"/>
      <c r="R73" s="100">
        <f t="shared" si="2"/>
        <v>0</v>
      </c>
      <c r="S73" s="8"/>
      <c r="T73" s="25"/>
      <c r="U73" s="112">
        <f t="shared" si="3"/>
        <v>0</v>
      </c>
      <c r="V73" s="127"/>
      <c r="W73" s="93"/>
      <c r="X73" s="93"/>
      <c r="Y73" s="69"/>
      <c r="Z73" s="77">
        <f t="shared" si="4"/>
        <v>0</v>
      </c>
      <c r="AA73" s="100">
        <f t="shared" si="5"/>
        <v>0</v>
      </c>
      <c r="AB73" s="127"/>
      <c r="AC73" s="77"/>
      <c r="AD73" s="128">
        <f t="shared" si="6"/>
        <v>0</v>
      </c>
    </row>
    <row r="74" spans="1:30" x14ac:dyDescent="0.15">
      <c r="A74" s="24"/>
      <c r="B74" s="3"/>
      <c r="C74" s="3"/>
      <c r="D74" s="3" t="s">
        <v>2</v>
      </c>
      <c r="E74" s="3"/>
      <c r="F74" s="3"/>
      <c r="G74" s="93">
        <v>0</v>
      </c>
      <c r="H74" s="9"/>
      <c r="I74" s="93">
        <v>0</v>
      </c>
      <c r="J74" s="13"/>
      <c r="K74" s="112">
        <f t="shared" si="0"/>
        <v>0</v>
      </c>
      <c r="L74" s="59">
        <v>0</v>
      </c>
      <c r="M74" s="77">
        <v>447148</v>
      </c>
      <c r="N74" s="59"/>
      <c r="O74" s="69"/>
      <c r="P74" s="81"/>
      <c r="Q74" s="81"/>
      <c r="R74" s="100">
        <f t="shared" si="2"/>
        <v>447148</v>
      </c>
      <c r="S74" s="8"/>
      <c r="T74" s="25"/>
      <c r="U74" s="112">
        <f t="shared" si="3"/>
        <v>447148</v>
      </c>
      <c r="V74" s="127"/>
      <c r="W74" s="93"/>
      <c r="X74" s="93">
        <v>20588</v>
      </c>
      <c r="Y74" s="69"/>
      <c r="Z74" s="77">
        <f t="shared" si="4"/>
        <v>20588</v>
      </c>
      <c r="AA74" s="100">
        <f t="shared" si="5"/>
        <v>20588</v>
      </c>
      <c r="AB74" s="127"/>
      <c r="AC74" s="77"/>
      <c r="AD74" s="128">
        <f t="shared" si="6"/>
        <v>467736</v>
      </c>
    </row>
    <row r="75" spans="1:30" x14ac:dyDescent="0.15">
      <c r="A75" s="24"/>
      <c r="B75" s="3"/>
      <c r="C75" s="3" t="s">
        <v>87</v>
      </c>
      <c r="D75" s="3"/>
      <c r="E75" s="3"/>
      <c r="F75" s="3"/>
      <c r="G75" s="93">
        <f>4708848+190506</f>
        <v>4899354</v>
      </c>
      <c r="H75" s="9"/>
      <c r="I75" s="93">
        <f>4708848+190506</f>
        <v>4899354</v>
      </c>
      <c r="J75" s="13"/>
      <c r="K75" s="112">
        <f t="shared" ref="K75:K87" si="10">I75+J75</f>
        <v>4899354</v>
      </c>
      <c r="L75" s="59">
        <f>SUM(L76:L83)</f>
        <v>3101998.64</v>
      </c>
      <c r="M75" s="77">
        <v>1725832</v>
      </c>
      <c r="N75" s="59">
        <v>12404</v>
      </c>
      <c r="O75" s="69">
        <v>3341</v>
      </c>
      <c r="P75" s="81">
        <v>16751</v>
      </c>
      <c r="Q75" s="81">
        <v>44307</v>
      </c>
      <c r="R75" s="100">
        <f t="shared" ref="R75:R89" si="11">SUM(L75:Q75)</f>
        <v>4904633.6400000006</v>
      </c>
      <c r="S75" s="8"/>
      <c r="T75" s="107">
        <v>-18895</v>
      </c>
      <c r="U75" s="112">
        <f t="shared" ref="U75:U86" si="12">K75+R75+T75</f>
        <v>9785092.6400000006</v>
      </c>
      <c r="V75" s="127">
        <v>0</v>
      </c>
      <c r="W75" s="93">
        <v>1988416</v>
      </c>
      <c r="X75" s="93">
        <v>53718</v>
      </c>
      <c r="Y75" s="69">
        <v>39202</v>
      </c>
      <c r="Z75" s="77">
        <f t="shared" ref="Z75:Z90" si="13">SUM(X75:Y75)</f>
        <v>92920</v>
      </c>
      <c r="AA75" s="100">
        <f t="shared" ref="AA75:AA90" si="14">V75+W75+Z75</f>
        <v>2081336</v>
      </c>
      <c r="AB75" s="127"/>
      <c r="AC75" s="77">
        <v>-2698</v>
      </c>
      <c r="AD75" s="128">
        <f t="shared" ref="AD75:AD90" si="15">U75+AA75+AB75+AC75</f>
        <v>11863730.640000001</v>
      </c>
    </row>
    <row r="76" spans="1:30" x14ac:dyDescent="0.15">
      <c r="A76" s="24"/>
      <c r="B76" s="3"/>
      <c r="C76" s="3"/>
      <c r="D76" s="3" t="s">
        <v>88</v>
      </c>
      <c r="E76" s="3"/>
      <c r="F76" s="3"/>
      <c r="G76" s="93">
        <v>3951856</v>
      </c>
      <c r="H76" s="9"/>
      <c r="I76" s="93">
        <v>3951856</v>
      </c>
      <c r="J76" s="13"/>
      <c r="K76" s="112">
        <f t="shared" si="10"/>
        <v>3951856</v>
      </c>
      <c r="L76" s="59">
        <v>2242159.6940000001</v>
      </c>
      <c r="M76" s="77">
        <v>592310</v>
      </c>
      <c r="N76" s="59"/>
      <c r="O76" s="69"/>
      <c r="P76" s="81"/>
      <c r="Q76" s="81"/>
      <c r="R76" s="100">
        <f t="shared" si="11"/>
        <v>2834469.6940000001</v>
      </c>
      <c r="S76" s="8"/>
      <c r="T76" s="25"/>
      <c r="U76" s="112">
        <f t="shared" si="12"/>
        <v>6786325.6940000001</v>
      </c>
      <c r="V76" s="127"/>
      <c r="W76" s="93">
        <v>1985000</v>
      </c>
      <c r="X76" s="93"/>
      <c r="Y76" s="69"/>
      <c r="Z76" s="77">
        <f t="shared" si="13"/>
        <v>0</v>
      </c>
      <c r="AA76" s="100">
        <f t="shared" si="14"/>
        <v>1985000</v>
      </c>
      <c r="AB76" s="127"/>
      <c r="AC76" s="77"/>
      <c r="AD76" s="128">
        <f t="shared" si="15"/>
        <v>8771325.6940000001</v>
      </c>
    </row>
    <row r="77" spans="1:30" x14ac:dyDescent="0.15">
      <c r="A77" s="24"/>
      <c r="B77" s="3"/>
      <c r="C77" s="3"/>
      <c r="D77" s="3" t="s">
        <v>89</v>
      </c>
      <c r="E77" s="3"/>
      <c r="F77" s="3"/>
      <c r="G77" s="93">
        <v>0</v>
      </c>
      <c r="H77" s="9"/>
      <c r="I77" s="93">
        <v>0</v>
      </c>
      <c r="J77" s="13"/>
      <c r="K77" s="112">
        <f t="shared" si="10"/>
        <v>0</v>
      </c>
      <c r="L77" s="59">
        <v>842994.946</v>
      </c>
      <c r="M77" s="77">
        <v>655037</v>
      </c>
      <c r="N77" s="59"/>
      <c r="O77" s="69"/>
      <c r="P77" s="81"/>
      <c r="Q77" s="81"/>
      <c r="R77" s="100">
        <f t="shared" si="11"/>
        <v>1498031.946</v>
      </c>
      <c r="S77" s="8"/>
      <c r="T77" s="107">
        <v>-18895</v>
      </c>
      <c r="U77" s="112">
        <f t="shared" si="12"/>
        <v>1479136.946</v>
      </c>
      <c r="V77" s="127"/>
      <c r="W77" s="93">
        <v>10</v>
      </c>
      <c r="X77" s="93">
        <v>43871</v>
      </c>
      <c r="Y77" s="69">
        <v>23757</v>
      </c>
      <c r="Z77" s="77">
        <f t="shared" si="13"/>
        <v>67628</v>
      </c>
      <c r="AA77" s="100">
        <f t="shared" si="14"/>
        <v>67638</v>
      </c>
      <c r="AB77" s="127"/>
      <c r="AC77" s="77">
        <v>-2698</v>
      </c>
      <c r="AD77" s="128">
        <f t="shared" si="15"/>
        <v>1544076.946</v>
      </c>
    </row>
    <row r="78" spans="1:30" x14ac:dyDescent="0.15">
      <c r="A78" s="24"/>
      <c r="B78" s="3"/>
      <c r="C78" s="3"/>
      <c r="D78" s="3" t="s">
        <v>90</v>
      </c>
      <c r="E78" s="3"/>
      <c r="F78" s="3"/>
      <c r="G78" s="93">
        <v>0</v>
      </c>
      <c r="H78" s="9"/>
      <c r="I78" s="93">
        <v>0</v>
      </c>
      <c r="J78" s="13"/>
      <c r="K78" s="112">
        <f t="shared" si="10"/>
        <v>0</v>
      </c>
      <c r="L78" s="59"/>
      <c r="M78" s="77"/>
      <c r="N78" s="59"/>
      <c r="O78" s="69"/>
      <c r="P78" s="81"/>
      <c r="Q78" s="81"/>
      <c r="R78" s="100">
        <f t="shared" si="11"/>
        <v>0</v>
      </c>
      <c r="S78" s="8"/>
      <c r="T78" s="25"/>
      <c r="U78" s="112">
        <f t="shared" si="12"/>
        <v>0</v>
      </c>
      <c r="V78" s="127"/>
      <c r="W78" s="93">
        <v>24</v>
      </c>
      <c r="X78" s="93"/>
      <c r="Y78" s="69"/>
      <c r="Z78" s="77">
        <f t="shared" si="13"/>
        <v>0</v>
      </c>
      <c r="AA78" s="100">
        <f t="shared" si="14"/>
        <v>24</v>
      </c>
      <c r="AB78" s="127"/>
      <c r="AC78" s="77"/>
      <c r="AD78" s="128">
        <f t="shared" si="15"/>
        <v>24</v>
      </c>
    </row>
    <row r="79" spans="1:30" x14ac:dyDescent="0.15">
      <c r="A79" s="24"/>
      <c r="B79" s="3"/>
      <c r="C79" s="3"/>
      <c r="D79" s="3" t="s">
        <v>91</v>
      </c>
      <c r="E79" s="3"/>
      <c r="F79" s="3"/>
      <c r="G79" s="93">
        <v>0</v>
      </c>
      <c r="H79" s="9"/>
      <c r="I79" s="93">
        <v>0</v>
      </c>
      <c r="J79" s="13"/>
      <c r="K79" s="112">
        <f t="shared" si="10"/>
        <v>0</v>
      </c>
      <c r="L79" s="59"/>
      <c r="M79" s="77"/>
      <c r="N79" s="59"/>
      <c r="O79" s="69"/>
      <c r="P79" s="81"/>
      <c r="Q79" s="81"/>
      <c r="R79" s="100">
        <f t="shared" si="11"/>
        <v>0</v>
      </c>
      <c r="S79" s="8"/>
      <c r="T79" s="25"/>
      <c r="U79" s="112">
        <f t="shared" si="12"/>
        <v>0</v>
      </c>
      <c r="V79" s="127"/>
      <c r="W79" s="93">
        <v>0</v>
      </c>
      <c r="X79" s="93"/>
      <c r="Y79" s="69"/>
      <c r="Z79" s="77">
        <f t="shared" si="13"/>
        <v>0</v>
      </c>
      <c r="AA79" s="100">
        <f t="shared" si="14"/>
        <v>0</v>
      </c>
      <c r="AB79" s="127"/>
      <c r="AC79" s="77"/>
      <c r="AD79" s="128">
        <f t="shared" si="15"/>
        <v>0</v>
      </c>
    </row>
    <row r="80" spans="1:30" x14ac:dyDescent="0.15">
      <c r="A80" s="24"/>
      <c r="B80" s="3"/>
      <c r="C80" s="3"/>
      <c r="D80" s="3" t="s">
        <v>92</v>
      </c>
      <c r="E80" s="3"/>
      <c r="F80" s="3"/>
      <c r="G80" s="93">
        <v>0</v>
      </c>
      <c r="H80" s="9"/>
      <c r="I80" s="93">
        <v>0</v>
      </c>
      <c r="J80" s="13"/>
      <c r="K80" s="112">
        <f t="shared" si="10"/>
        <v>0</v>
      </c>
      <c r="L80" s="59"/>
      <c r="M80" s="77"/>
      <c r="N80" s="59"/>
      <c r="O80" s="69"/>
      <c r="P80" s="81"/>
      <c r="Q80" s="81"/>
      <c r="R80" s="100">
        <f t="shared" si="11"/>
        <v>0</v>
      </c>
      <c r="S80" s="8"/>
      <c r="T80" s="25"/>
      <c r="U80" s="112">
        <f t="shared" si="12"/>
        <v>0</v>
      </c>
      <c r="V80" s="127"/>
      <c r="W80" s="93">
        <v>41</v>
      </c>
      <c r="X80" s="93"/>
      <c r="Y80" s="69"/>
      <c r="Z80" s="77">
        <f t="shared" si="13"/>
        <v>0</v>
      </c>
      <c r="AA80" s="100">
        <f t="shared" si="14"/>
        <v>41</v>
      </c>
      <c r="AB80" s="127"/>
      <c r="AC80" s="77"/>
      <c r="AD80" s="128">
        <f t="shared" si="15"/>
        <v>41</v>
      </c>
    </row>
    <row r="81" spans="1:30" x14ac:dyDescent="0.15">
      <c r="A81" s="24"/>
      <c r="B81" s="3"/>
      <c r="C81" s="3"/>
      <c r="D81" s="3" t="s">
        <v>93</v>
      </c>
      <c r="E81" s="3"/>
      <c r="F81" s="3"/>
      <c r="G81" s="93">
        <v>756992</v>
      </c>
      <c r="H81" s="9"/>
      <c r="I81" s="93">
        <v>756992</v>
      </c>
      <c r="J81" s="13"/>
      <c r="K81" s="112">
        <f t="shared" si="10"/>
        <v>756992</v>
      </c>
      <c r="L81" s="59">
        <v>16094</v>
      </c>
      <c r="M81" s="77">
        <v>258068</v>
      </c>
      <c r="N81" s="59">
        <v>12404</v>
      </c>
      <c r="O81" s="69">
        <v>3341</v>
      </c>
      <c r="P81" s="81">
        <v>16751</v>
      </c>
      <c r="Q81" s="81">
        <v>44307</v>
      </c>
      <c r="R81" s="100">
        <f t="shared" si="11"/>
        <v>350965</v>
      </c>
      <c r="S81" s="8"/>
      <c r="T81" s="25"/>
      <c r="U81" s="112">
        <f t="shared" si="12"/>
        <v>1107957</v>
      </c>
      <c r="V81" s="127"/>
      <c r="W81" s="93">
        <v>3341</v>
      </c>
      <c r="X81" s="93">
        <v>9817</v>
      </c>
      <c r="Y81" s="69">
        <v>12572</v>
      </c>
      <c r="Z81" s="77">
        <f t="shared" si="13"/>
        <v>22389</v>
      </c>
      <c r="AA81" s="100">
        <f t="shared" si="14"/>
        <v>25730</v>
      </c>
      <c r="AB81" s="127"/>
      <c r="AC81" s="77"/>
      <c r="AD81" s="128">
        <f t="shared" si="15"/>
        <v>1133687</v>
      </c>
    </row>
    <row r="82" spans="1:30" x14ac:dyDescent="0.15">
      <c r="A82" s="24"/>
      <c r="B82" s="3"/>
      <c r="C82" s="3"/>
      <c r="D82" s="3" t="s">
        <v>94</v>
      </c>
      <c r="E82" s="3"/>
      <c r="F82" s="3"/>
      <c r="G82" s="93">
        <v>190506</v>
      </c>
      <c r="H82" s="9"/>
      <c r="I82" s="93">
        <v>190506</v>
      </c>
      <c r="J82" s="13"/>
      <c r="K82" s="112">
        <f>I82+J82</f>
        <v>190506</v>
      </c>
      <c r="L82" s="59">
        <v>750</v>
      </c>
      <c r="M82" s="77">
        <v>42730</v>
      </c>
      <c r="N82" s="59"/>
      <c r="O82" s="69"/>
      <c r="P82" s="81"/>
      <c r="Q82" s="81"/>
      <c r="R82" s="100">
        <f t="shared" si="11"/>
        <v>43480</v>
      </c>
      <c r="S82" s="8"/>
      <c r="T82" s="25"/>
      <c r="U82" s="112">
        <f t="shared" si="12"/>
        <v>233986</v>
      </c>
      <c r="V82" s="127"/>
      <c r="W82" s="93"/>
      <c r="X82" s="93">
        <v>30</v>
      </c>
      <c r="Y82" s="69">
        <v>2863</v>
      </c>
      <c r="Z82" s="77">
        <f t="shared" si="13"/>
        <v>2893</v>
      </c>
      <c r="AA82" s="100">
        <f t="shared" si="14"/>
        <v>2893</v>
      </c>
      <c r="AB82" s="127"/>
      <c r="AC82" s="77"/>
      <c r="AD82" s="128">
        <f t="shared" si="15"/>
        <v>236879</v>
      </c>
    </row>
    <row r="83" spans="1:30" x14ac:dyDescent="0.15">
      <c r="A83" s="24"/>
      <c r="B83" s="3"/>
      <c r="C83" s="3"/>
      <c r="D83" s="3" t="s">
        <v>2</v>
      </c>
      <c r="E83" s="3"/>
      <c r="F83" s="3"/>
      <c r="G83" s="93">
        <v>0</v>
      </c>
      <c r="H83" s="9"/>
      <c r="I83" s="93">
        <v>0</v>
      </c>
      <c r="J83" s="13"/>
      <c r="K83" s="112">
        <f t="shared" si="10"/>
        <v>0</v>
      </c>
      <c r="L83" s="59"/>
      <c r="M83" s="77">
        <v>177687</v>
      </c>
      <c r="N83" s="59"/>
      <c r="O83" s="69"/>
      <c r="P83" s="81"/>
      <c r="Q83" s="81"/>
      <c r="R83" s="100">
        <f t="shared" si="11"/>
        <v>177687</v>
      </c>
      <c r="S83" s="8"/>
      <c r="T83" s="25"/>
      <c r="U83" s="112">
        <f t="shared" si="12"/>
        <v>177687</v>
      </c>
      <c r="V83" s="127"/>
      <c r="W83" s="93"/>
      <c r="X83" s="93"/>
      <c r="Y83" s="69">
        <v>10</v>
      </c>
      <c r="Z83" s="77">
        <f t="shared" si="13"/>
        <v>10</v>
      </c>
      <c r="AA83" s="100">
        <f t="shared" si="14"/>
        <v>10</v>
      </c>
      <c r="AB83" s="127"/>
      <c r="AC83" s="77"/>
      <c r="AD83" s="128">
        <f t="shared" si="15"/>
        <v>177697</v>
      </c>
    </row>
    <row r="84" spans="1:30" x14ac:dyDescent="0.15">
      <c r="A84" s="24"/>
      <c r="B84" s="3"/>
      <c r="C84" s="3" t="s">
        <v>177</v>
      </c>
      <c r="D84" s="3"/>
      <c r="E84" s="3"/>
      <c r="F84" s="3"/>
      <c r="G84" s="93">
        <v>0</v>
      </c>
      <c r="H84" s="9"/>
      <c r="I84" s="93">
        <v>0</v>
      </c>
      <c r="J84" s="13"/>
      <c r="K84" s="112">
        <f t="shared" si="10"/>
        <v>0</v>
      </c>
      <c r="L84" s="59">
        <f>L85+L86</f>
        <v>20622571</v>
      </c>
      <c r="M84" s="77">
        <v>503126</v>
      </c>
      <c r="N84" s="59"/>
      <c r="O84" s="69"/>
      <c r="P84" s="81"/>
      <c r="Q84" s="81"/>
      <c r="R84" s="100">
        <f t="shared" si="11"/>
        <v>21125697</v>
      </c>
      <c r="S84" s="8"/>
      <c r="T84" s="25"/>
      <c r="U84" s="112">
        <f t="shared" si="12"/>
        <v>21125697</v>
      </c>
      <c r="V84" s="127"/>
      <c r="W84" s="93"/>
      <c r="X84" s="93"/>
      <c r="Y84" s="69"/>
      <c r="Z84" s="77"/>
      <c r="AA84" s="100"/>
      <c r="AB84" s="127"/>
      <c r="AC84" s="77"/>
      <c r="AD84" s="128">
        <f t="shared" si="15"/>
        <v>21125697</v>
      </c>
    </row>
    <row r="85" spans="1:30" x14ac:dyDescent="0.15">
      <c r="A85" s="24"/>
      <c r="B85" s="3"/>
      <c r="C85" s="3"/>
      <c r="D85" s="3" t="s">
        <v>178</v>
      </c>
      <c r="E85" s="3"/>
      <c r="F85" s="3"/>
      <c r="G85" s="93">
        <v>0</v>
      </c>
      <c r="H85" s="9"/>
      <c r="I85" s="93">
        <v>0</v>
      </c>
      <c r="J85" s="13"/>
      <c r="K85" s="112">
        <f t="shared" si="10"/>
        <v>0</v>
      </c>
      <c r="L85" s="59">
        <v>25903049</v>
      </c>
      <c r="M85" s="77">
        <v>4584502</v>
      </c>
      <c r="N85" s="59"/>
      <c r="O85" s="69"/>
      <c r="P85" s="81"/>
      <c r="Q85" s="81"/>
      <c r="R85" s="100">
        <f t="shared" si="11"/>
        <v>30487551</v>
      </c>
      <c r="S85" s="8"/>
      <c r="T85" s="25"/>
      <c r="U85" s="112">
        <f t="shared" si="12"/>
        <v>30487551</v>
      </c>
      <c r="V85" s="127"/>
      <c r="W85" s="93"/>
      <c r="X85" s="93"/>
      <c r="Y85" s="69"/>
      <c r="Z85" s="77"/>
      <c r="AA85" s="100"/>
      <c r="AB85" s="127"/>
      <c r="AC85" s="77"/>
      <c r="AD85" s="128">
        <f t="shared" si="15"/>
        <v>30487551</v>
      </c>
    </row>
    <row r="86" spans="1:30" x14ac:dyDescent="0.15">
      <c r="A86" s="24"/>
      <c r="B86" s="3"/>
      <c r="C86" s="3"/>
      <c r="D86" s="3" t="s">
        <v>179</v>
      </c>
      <c r="E86" s="3"/>
      <c r="F86" s="3"/>
      <c r="G86" s="93">
        <v>0</v>
      </c>
      <c r="H86" s="9"/>
      <c r="I86" s="93">
        <v>0</v>
      </c>
      <c r="J86" s="13"/>
      <c r="K86" s="112">
        <f t="shared" si="10"/>
        <v>0</v>
      </c>
      <c r="L86" s="59">
        <v>-5280478</v>
      </c>
      <c r="M86" s="77">
        <v>-4081376</v>
      </c>
      <c r="N86" s="59"/>
      <c r="O86" s="69"/>
      <c r="P86" s="81"/>
      <c r="Q86" s="81"/>
      <c r="R86" s="100">
        <f t="shared" si="11"/>
        <v>-9361854</v>
      </c>
      <c r="S86" s="8"/>
      <c r="T86" s="25"/>
      <c r="U86" s="112">
        <f t="shared" si="12"/>
        <v>-9361854</v>
      </c>
      <c r="V86" s="127"/>
      <c r="W86" s="93"/>
      <c r="X86" s="93"/>
      <c r="Y86" s="69"/>
      <c r="Z86" s="77"/>
      <c r="AA86" s="100"/>
      <c r="AB86" s="127"/>
      <c r="AC86" s="77"/>
      <c r="AD86" s="128">
        <f t="shared" si="15"/>
        <v>-9361854</v>
      </c>
    </row>
    <row r="87" spans="1:30" x14ac:dyDescent="0.15">
      <c r="A87" s="24"/>
      <c r="B87" s="3" t="s">
        <v>6</v>
      </c>
      <c r="C87" s="3"/>
      <c r="D87" s="3"/>
      <c r="E87" s="3"/>
      <c r="F87" s="3"/>
      <c r="G87" s="93">
        <v>141635587</v>
      </c>
      <c r="H87" s="9"/>
      <c r="I87" s="93">
        <v>141635587</v>
      </c>
      <c r="J87" s="100"/>
      <c r="K87" s="112">
        <f t="shared" si="10"/>
        <v>141635587</v>
      </c>
      <c r="L87" s="59">
        <v>22498415</v>
      </c>
      <c r="M87" s="77">
        <v>3546398</v>
      </c>
      <c r="N87" s="59">
        <v>1715911</v>
      </c>
      <c r="O87" s="69">
        <v>20207</v>
      </c>
      <c r="P87" s="81">
        <v>1582079</v>
      </c>
      <c r="Q87" s="81">
        <v>-120921</v>
      </c>
      <c r="R87" s="100">
        <f t="shared" si="11"/>
        <v>29242089</v>
      </c>
      <c r="S87" s="8"/>
      <c r="T87" s="107">
        <f>-6017690</f>
        <v>-6017690</v>
      </c>
      <c r="U87" s="112">
        <f>K87+R87+T87</f>
        <v>164859986</v>
      </c>
      <c r="V87" s="127">
        <v>1293077</v>
      </c>
      <c r="W87" s="93">
        <v>-1209863</v>
      </c>
      <c r="X87" s="93">
        <v>478426</v>
      </c>
      <c r="Y87" s="69">
        <v>235367</v>
      </c>
      <c r="Z87" s="77">
        <f t="shared" si="13"/>
        <v>713793</v>
      </c>
      <c r="AA87" s="100">
        <f t="shared" si="14"/>
        <v>797007</v>
      </c>
      <c r="AB87" s="127"/>
      <c r="AC87" s="77">
        <v>-308000</v>
      </c>
      <c r="AD87" s="128">
        <f t="shared" si="15"/>
        <v>165348993</v>
      </c>
    </row>
    <row r="88" spans="1:30" x14ac:dyDescent="0.15">
      <c r="A88" s="24"/>
      <c r="B88" s="3"/>
      <c r="C88" s="3" t="s">
        <v>95</v>
      </c>
      <c r="D88" s="3"/>
      <c r="E88" s="3"/>
      <c r="F88" s="3"/>
      <c r="G88" s="93">
        <v>190848199.167</v>
      </c>
      <c r="H88" s="9"/>
      <c r="I88" s="93">
        <v>190848199.167</v>
      </c>
      <c r="J88" s="100"/>
      <c r="K88" s="112">
        <f>I88+J88</f>
        <v>190848199.167</v>
      </c>
      <c r="L88" s="59">
        <f>48020882</f>
        <v>48020882</v>
      </c>
      <c r="M88" s="77">
        <f>1748655</f>
        <v>1748655</v>
      </c>
      <c r="N88" s="59">
        <v>0</v>
      </c>
      <c r="O88" s="69">
        <v>0</v>
      </c>
      <c r="P88" s="81">
        <v>0</v>
      </c>
      <c r="Q88" s="81">
        <v>10032</v>
      </c>
      <c r="R88" s="100">
        <f>SUM(L88:Q88)</f>
        <v>49779569</v>
      </c>
      <c r="S88" s="8"/>
      <c r="T88" s="119"/>
      <c r="U88" s="112">
        <f>K88+R88+T88</f>
        <v>240627768.167</v>
      </c>
      <c r="V88" s="127">
        <v>163893</v>
      </c>
      <c r="W88" s="93">
        <v>0</v>
      </c>
      <c r="X88" s="93">
        <v>5466</v>
      </c>
      <c r="Y88" s="69">
        <f>26933-3000</f>
        <v>23933</v>
      </c>
      <c r="Z88" s="77">
        <f t="shared" si="13"/>
        <v>29399</v>
      </c>
      <c r="AA88" s="100">
        <f t="shared" si="14"/>
        <v>193292</v>
      </c>
      <c r="AB88" s="127"/>
      <c r="AC88" s="77"/>
      <c r="AD88" s="128">
        <f t="shared" si="15"/>
        <v>240821060.167</v>
      </c>
    </row>
    <row r="89" spans="1:30" x14ac:dyDescent="0.15">
      <c r="A89" s="26"/>
      <c r="B89" s="1"/>
      <c r="C89" s="1" t="s">
        <v>96</v>
      </c>
      <c r="D89" s="1"/>
      <c r="E89" s="1"/>
      <c r="F89" s="1"/>
      <c r="G89" s="94">
        <f>-49212612-G90</f>
        <v>-49212612</v>
      </c>
      <c r="H89" s="28"/>
      <c r="I89" s="94">
        <f>-49212612-I90</f>
        <v>-49212612</v>
      </c>
      <c r="J89" s="100"/>
      <c r="K89" s="113">
        <f>I89+J89</f>
        <v>-49212612</v>
      </c>
      <c r="L89" s="75">
        <f>L87-L88-L90</f>
        <v>-26421685</v>
      </c>
      <c r="M89" s="78">
        <f>1797743-M90</f>
        <v>-3320729</v>
      </c>
      <c r="N89" s="62">
        <v>1715911</v>
      </c>
      <c r="O89" s="82">
        <v>20207</v>
      </c>
      <c r="P89" s="83">
        <v>1582079</v>
      </c>
      <c r="Q89" s="83">
        <v>-130953</v>
      </c>
      <c r="R89" s="101">
        <f t="shared" si="11"/>
        <v>-26555170</v>
      </c>
      <c r="S89" s="27"/>
      <c r="T89" s="30"/>
      <c r="U89" s="113">
        <f>K89+R89+T89</f>
        <v>-75767782</v>
      </c>
      <c r="V89" s="129">
        <v>1129184</v>
      </c>
      <c r="W89" s="94">
        <f>-1209863-5000</f>
        <v>-1214863</v>
      </c>
      <c r="X89" s="94">
        <v>172960</v>
      </c>
      <c r="Y89" s="82">
        <v>208434</v>
      </c>
      <c r="Z89" s="78">
        <f t="shared" si="13"/>
        <v>381394</v>
      </c>
      <c r="AA89" s="101">
        <f t="shared" si="14"/>
        <v>295715</v>
      </c>
      <c r="AB89" s="127"/>
      <c r="AC89" s="77"/>
      <c r="AD89" s="130">
        <f t="shared" si="15"/>
        <v>-75472067</v>
      </c>
    </row>
    <row r="90" spans="1:30" ht="14.25" thickBot="1" x14ac:dyDescent="0.2">
      <c r="A90" s="38"/>
      <c r="B90" s="4"/>
      <c r="C90" s="4" t="s">
        <v>168</v>
      </c>
      <c r="D90" s="4"/>
      <c r="E90" s="4"/>
      <c r="F90" s="4"/>
      <c r="G90" s="96"/>
      <c r="H90" s="40"/>
      <c r="I90" s="96"/>
      <c r="J90" s="41"/>
      <c r="K90" s="118"/>
      <c r="L90" s="64">
        <v>899218</v>
      </c>
      <c r="M90" s="80">
        <v>5118472</v>
      </c>
      <c r="N90" s="64"/>
      <c r="O90" s="86"/>
      <c r="P90" s="87"/>
      <c r="Q90" s="87"/>
      <c r="R90" s="104">
        <f>SUM(L90:Q90)</f>
        <v>6017690</v>
      </c>
      <c r="S90" s="39"/>
      <c r="T90" s="152">
        <f>-6017690</f>
        <v>-6017690</v>
      </c>
      <c r="U90" s="118">
        <f>K90+R90+T90</f>
        <v>0</v>
      </c>
      <c r="V90" s="134">
        <v>0</v>
      </c>
      <c r="W90" s="96">
        <v>5000</v>
      </c>
      <c r="X90" s="96">
        <v>300000</v>
      </c>
      <c r="Y90" s="86">
        <v>3000</v>
      </c>
      <c r="Z90" s="80">
        <f t="shared" si="13"/>
        <v>303000</v>
      </c>
      <c r="AA90" s="104">
        <f t="shared" si="14"/>
        <v>308000</v>
      </c>
      <c r="AB90" s="134"/>
      <c r="AC90" s="80">
        <f>-5000-300000-3000</f>
        <v>-308000</v>
      </c>
      <c r="AD90" s="135">
        <f t="shared" si="15"/>
        <v>0</v>
      </c>
    </row>
    <row r="91" spans="1:30" x14ac:dyDescent="0.15">
      <c r="A91" s="43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43"/>
    </row>
    <row r="92" spans="1:30" ht="14.25" thickBot="1" x14ac:dyDescent="0.2">
      <c r="A92" s="44" t="s">
        <v>190</v>
      </c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44"/>
    </row>
    <row r="93" spans="1:30" x14ac:dyDescent="0.15">
      <c r="A93" s="168" t="s">
        <v>0</v>
      </c>
      <c r="B93" s="169"/>
      <c r="C93" s="169"/>
      <c r="D93" s="169"/>
      <c r="E93" s="169"/>
      <c r="F93" s="15"/>
      <c r="G93" s="174" t="s">
        <v>63</v>
      </c>
      <c r="H93" s="175"/>
      <c r="I93" s="175"/>
      <c r="J93" s="175"/>
      <c r="K93" s="176"/>
      <c r="L93" s="175" t="s">
        <v>64</v>
      </c>
      <c r="M93" s="175"/>
      <c r="N93" s="175"/>
      <c r="O93" s="175"/>
      <c r="P93" s="175"/>
      <c r="Q93" s="175"/>
      <c r="R93" s="175"/>
      <c r="S93" s="175"/>
      <c r="T93" s="175"/>
      <c r="U93" s="176"/>
      <c r="V93" s="175" t="s">
        <v>65</v>
      </c>
      <c r="W93" s="175"/>
      <c r="X93" s="175"/>
      <c r="Y93" s="175"/>
      <c r="Z93" s="175"/>
      <c r="AA93" s="175"/>
      <c r="AB93" s="175"/>
      <c r="AC93" s="175"/>
      <c r="AD93" s="177"/>
    </row>
    <row r="94" spans="1:30" s="57" customFormat="1" ht="13.5" customHeight="1" x14ac:dyDescent="0.15">
      <c r="A94" s="170"/>
      <c r="B94" s="171"/>
      <c r="C94" s="171"/>
      <c r="D94" s="171"/>
      <c r="E94" s="171"/>
      <c r="F94" s="16"/>
      <c r="G94" s="178" t="s">
        <v>129</v>
      </c>
      <c r="H94" s="181" t="s">
        <v>66</v>
      </c>
      <c r="I94" s="184" t="s">
        <v>67</v>
      </c>
      <c r="J94" s="187" t="s">
        <v>131</v>
      </c>
      <c r="K94" s="190" t="s">
        <v>68</v>
      </c>
      <c r="L94" s="198" t="s">
        <v>172</v>
      </c>
      <c r="M94" s="198"/>
      <c r="N94" s="198"/>
      <c r="O94" s="198"/>
      <c r="P94" s="198"/>
      <c r="Q94" s="198"/>
      <c r="R94" s="187" t="s">
        <v>130</v>
      </c>
      <c r="S94" s="178" t="s">
        <v>132</v>
      </c>
      <c r="T94" s="204" t="s">
        <v>133</v>
      </c>
      <c r="U94" s="190" t="s">
        <v>68</v>
      </c>
      <c r="V94" s="74" t="s">
        <v>181</v>
      </c>
      <c r="W94" s="74" t="s">
        <v>69</v>
      </c>
      <c r="X94" s="209" t="s">
        <v>70</v>
      </c>
      <c r="Y94" s="210"/>
      <c r="Z94" s="211"/>
      <c r="AA94" s="187" t="s">
        <v>130</v>
      </c>
      <c r="AB94" s="178" t="s">
        <v>132</v>
      </c>
      <c r="AC94" s="204" t="s">
        <v>133</v>
      </c>
      <c r="AD94" s="195" t="s">
        <v>68</v>
      </c>
    </row>
    <row r="95" spans="1:30" s="57" customFormat="1" ht="13.5" customHeight="1" x14ac:dyDescent="0.15">
      <c r="A95" s="170"/>
      <c r="B95" s="171"/>
      <c r="C95" s="171"/>
      <c r="D95" s="171"/>
      <c r="E95" s="171"/>
      <c r="F95" s="16"/>
      <c r="G95" s="179"/>
      <c r="H95" s="182"/>
      <c r="I95" s="185"/>
      <c r="J95" s="188"/>
      <c r="K95" s="191"/>
      <c r="L95" s="198" t="s">
        <v>71</v>
      </c>
      <c r="M95" s="199"/>
      <c r="N95" s="198" t="s">
        <v>2</v>
      </c>
      <c r="O95" s="198"/>
      <c r="P95" s="198"/>
      <c r="Q95" s="198"/>
      <c r="R95" s="188"/>
      <c r="S95" s="202"/>
      <c r="T95" s="205"/>
      <c r="U95" s="191"/>
      <c r="V95" s="200" t="s">
        <v>182</v>
      </c>
      <c r="W95" s="178" t="s">
        <v>183</v>
      </c>
      <c r="X95" s="178" t="s">
        <v>184</v>
      </c>
      <c r="Y95" s="207" t="s">
        <v>185</v>
      </c>
      <c r="Z95" s="193" t="s">
        <v>58</v>
      </c>
      <c r="AA95" s="188"/>
      <c r="AB95" s="202"/>
      <c r="AC95" s="205"/>
      <c r="AD95" s="196"/>
    </row>
    <row r="96" spans="1:30" s="57" customFormat="1" ht="27" x14ac:dyDescent="0.15">
      <c r="A96" s="172"/>
      <c r="B96" s="173"/>
      <c r="C96" s="173"/>
      <c r="D96" s="173"/>
      <c r="E96" s="173"/>
      <c r="F96" s="17"/>
      <c r="G96" s="180"/>
      <c r="H96" s="183"/>
      <c r="I96" s="186"/>
      <c r="J96" s="189"/>
      <c r="K96" s="192"/>
      <c r="L96" s="73" t="s">
        <v>186</v>
      </c>
      <c r="M96" s="18" t="s">
        <v>174</v>
      </c>
      <c r="N96" s="67" t="s">
        <v>175</v>
      </c>
      <c r="O96" s="58" t="s">
        <v>176</v>
      </c>
      <c r="P96" s="20" t="s">
        <v>187</v>
      </c>
      <c r="Q96" s="20" t="s">
        <v>180</v>
      </c>
      <c r="R96" s="189"/>
      <c r="S96" s="203"/>
      <c r="T96" s="206"/>
      <c r="U96" s="192"/>
      <c r="V96" s="201"/>
      <c r="W96" s="203"/>
      <c r="X96" s="203"/>
      <c r="Y96" s="208"/>
      <c r="Z96" s="194"/>
      <c r="AA96" s="189"/>
      <c r="AB96" s="203"/>
      <c r="AC96" s="206"/>
      <c r="AD96" s="197"/>
    </row>
    <row r="97" spans="1:30" x14ac:dyDescent="0.15">
      <c r="A97" s="37" t="s">
        <v>17</v>
      </c>
      <c r="B97" s="22"/>
      <c r="C97" s="22"/>
      <c r="D97" s="22"/>
      <c r="E97" s="22"/>
      <c r="F97" s="22"/>
      <c r="G97" s="92">
        <v>-58234775</v>
      </c>
      <c r="H97" s="7"/>
      <c r="I97" s="92">
        <v>-58234775</v>
      </c>
      <c r="J97" s="100"/>
      <c r="K97" s="115">
        <f>I97-J97</f>
        <v>-58234775</v>
      </c>
      <c r="L97" s="61">
        <f>L119-L98</f>
        <v>-573381</v>
      </c>
      <c r="M97" s="76">
        <f>M119-M98</f>
        <v>-1186931</v>
      </c>
      <c r="N97" s="61">
        <v>-12051218</v>
      </c>
      <c r="O97" s="70">
        <f>O119-O98</f>
        <v>-2649135</v>
      </c>
      <c r="P97" s="70">
        <f>P119-P98</f>
        <v>-7698965</v>
      </c>
      <c r="Q97" s="70">
        <f>Q119-Q98</f>
        <v>43516</v>
      </c>
      <c r="R97" s="103">
        <f t="shared" ref="R97:R131" si="16">SUM(L97:Q97)</f>
        <v>-24116114</v>
      </c>
      <c r="S97" s="6"/>
      <c r="T97" s="125">
        <f>T119-T98</f>
        <v>0</v>
      </c>
      <c r="U97" s="115">
        <f>K97+R97-T97</f>
        <v>-82350889</v>
      </c>
      <c r="V97" s="61">
        <f t="shared" ref="V97:Y97" si="17">V119-V98</f>
        <v>-21731739</v>
      </c>
      <c r="W97" s="61">
        <f t="shared" si="17"/>
        <v>28857</v>
      </c>
      <c r="X97" s="92">
        <f t="shared" si="17"/>
        <v>11101</v>
      </c>
      <c r="Y97" s="70">
        <f t="shared" si="17"/>
        <v>9769</v>
      </c>
      <c r="Z97" s="76">
        <f t="shared" ref="Z97:Z129" si="18">SUM(X97:Y97)</f>
        <v>20870</v>
      </c>
      <c r="AA97" s="103">
        <f t="shared" ref="AA97:AA131" si="19">V97+W97+Z97</f>
        <v>-21682012</v>
      </c>
      <c r="AB97" s="61"/>
      <c r="AC97" s="119">
        <f>-AC98</f>
        <v>13544</v>
      </c>
      <c r="AD97" s="126">
        <f t="shared" ref="AD97:AD131" si="20">U97+AA97+AB97+AC97</f>
        <v>-104019357</v>
      </c>
    </row>
    <row r="98" spans="1:30" x14ac:dyDescent="0.15">
      <c r="A98" s="24"/>
      <c r="B98" s="3" t="s">
        <v>28</v>
      </c>
      <c r="C98" s="3"/>
      <c r="D98" s="3"/>
      <c r="E98" s="3"/>
      <c r="F98" s="3"/>
      <c r="G98" s="93">
        <v>60504108</v>
      </c>
      <c r="H98" s="9"/>
      <c r="I98" s="93">
        <v>60504108</v>
      </c>
      <c r="J98" s="110"/>
      <c r="K98" s="112">
        <f>I98+J98</f>
        <v>60504108</v>
      </c>
      <c r="L98" s="59">
        <f t="shared" ref="L98:Q98" si="21">L99+L114</f>
        <v>5031667</v>
      </c>
      <c r="M98" s="77">
        <f t="shared" si="21"/>
        <v>11061877</v>
      </c>
      <c r="N98" s="59">
        <f t="shared" si="21"/>
        <v>26495610</v>
      </c>
      <c r="O98" s="69">
        <f t="shared" si="21"/>
        <v>3287299</v>
      </c>
      <c r="P98" s="69">
        <f t="shared" si="21"/>
        <v>13319380</v>
      </c>
      <c r="Q98" s="69">
        <f t="shared" si="21"/>
        <v>27181</v>
      </c>
      <c r="R98" s="100">
        <f t="shared" si="16"/>
        <v>59223014</v>
      </c>
      <c r="S98" s="8"/>
      <c r="T98" s="155">
        <f>-9244245-32833</f>
        <v>-9277078</v>
      </c>
      <c r="U98" s="112">
        <f t="shared" ref="U98:U131" si="22">K98+R98+T98</f>
        <v>110450044</v>
      </c>
      <c r="V98" s="59">
        <v>21762817</v>
      </c>
      <c r="W98" s="59">
        <v>6949</v>
      </c>
      <c r="X98" s="93">
        <v>675947</v>
      </c>
      <c r="Y98" s="69">
        <v>413005</v>
      </c>
      <c r="Z98" s="77">
        <f t="shared" si="18"/>
        <v>1088952</v>
      </c>
      <c r="AA98" s="100">
        <f t="shared" si="19"/>
        <v>22858718</v>
      </c>
      <c r="AB98" s="59"/>
      <c r="AC98" s="107">
        <v>-13544</v>
      </c>
      <c r="AD98" s="128">
        <f t="shared" si="20"/>
        <v>133295218</v>
      </c>
    </row>
    <row r="99" spans="1:30" x14ac:dyDescent="0.15">
      <c r="A99" s="24"/>
      <c r="B99" s="3"/>
      <c r="C99" s="3" t="s">
        <v>29</v>
      </c>
      <c r="D99" s="3"/>
      <c r="E99" s="3"/>
      <c r="F99" s="3"/>
      <c r="G99" s="93">
        <v>28516209</v>
      </c>
      <c r="H99" s="9"/>
      <c r="I99" s="93">
        <v>28516209</v>
      </c>
      <c r="J99" s="13"/>
      <c r="K99" s="112">
        <f t="shared" ref="K99:K131" si="23">I99+J99</f>
        <v>28516209</v>
      </c>
      <c r="L99" s="59">
        <f>L100+L105+L110</f>
        <v>3961730</v>
      </c>
      <c r="M99" s="77">
        <f>M100+M105+M110</f>
        <v>11061877</v>
      </c>
      <c r="N99" s="59">
        <v>881878</v>
      </c>
      <c r="O99" s="69">
        <f>O100+O105+O110</f>
        <v>299730</v>
      </c>
      <c r="P99" s="81">
        <v>825313</v>
      </c>
      <c r="Q99" s="81">
        <v>27181</v>
      </c>
      <c r="R99" s="100">
        <f>SUM(L99:Q99)</f>
        <v>17057709</v>
      </c>
      <c r="S99" s="8"/>
      <c r="T99" s="107">
        <v>-32833</v>
      </c>
      <c r="U99" s="112">
        <f>K99+R99+T99</f>
        <v>45541085</v>
      </c>
      <c r="V99" s="59">
        <v>506260</v>
      </c>
      <c r="W99" s="59">
        <v>815</v>
      </c>
      <c r="X99" s="93">
        <v>646131</v>
      </c>
      <c r="Y99" s="69">
        <v>399200</v>
      </c>
      <c r="Z99" s="77">
        <f t="shared" si="18"/>
        <v>1045331</v>
      </c>
      <c r="AA99" s="100">
        <f t="shared" si="19"/>
        <v>1552406</v>
      </c>
      <c r="AB99" s="59"/>
      <c r="AC99" s="107"/>
      <c r="AD99" s="128">
        <f>U99+AA99+AB99+AC99</f>
        <v>47093491</v>
      </c>
    </row>
    <row r="100" spans="1:30" x14ac:dyDescent="0.15">
      <c r="A100" s="24"/>
      <c r="B100" s="3"/>
      <c r="C100" s="3"/>
      <c r="D100" s="3" t="s">
        <v>8</v>
      </c>
      <c r="E100" s="3"/>
      <c r="F100" s="3"/>
      <c r="G100" s="93">
        <v>14292913</v>
      </c>
      <c r="H100" s="9"/>
      <c r="I100" s="93">
        <v>14292913</v>
      </c>
      <c r="J100" s="13"/>
      <c r="K100" s="112">
        <f t="shared" si="23"/>
        <v>14292913</v>
      </c>
      <c r="L100" s="59">
        <f>SUM(L101:L104)</f>
        <v>139118</v>
      </c>
      <c r="M100" s="77">
        <f>SUM(M101:M104)</f>
        <v>4902178</v>
      </c>
      <c r="N100" s="59">
        <v>209680</v>
      </c>
      <c r="O100" s="69">
        <f>SUM(O101:O104)</f>
        <v>49728</v>
      </c>
      <c r="P100" s="81">
        <v>296812</v>
      </c>
      <c r="Q100" s="81">
        <v>0</v>
      </c>
      <c r="R100" s="100">
        <f t="shared" si="16"/>
        <v>5597516</v>
      </c>
      <c r="S100" s="8"/>
      <c r="T100" s="25"/>
      <c r="U100" s="112">
        <f t="shared" si="22"/>
        <v>19890429</v>
      </c>
      <c r="V100" s="59">
        <v>22</v>
      </c>
      <c r="W100" s="59">
        <v>0</v>
      </c>
      <c r="X100" s="93">
        <v>153312</v>
      </c>
      <c r="Y100" s="69">
        <v>304379</v>
      </c>
      <c r="Z100" s="77">
        <f t="shared" si="18"/>
        <v>457691</v>
      </c>
      <c r="AA100" s="100">
        <f t="shared" si="19"/>
        <v>457713</v>
      </c>
      <c r="AB100" s="59"/>
      <c r="AC100" s="107"/>
      <c r="AD100" s="128">
        <f t="shared" si="20"/>
        <v>20348142</v>
      </c>
    </row>
    <row r="101" spans="1:30" x14ac:dyDescent="0.15">
      <c r="A101" s="24"/>
      <c r="B101" s="3"/>
      <c r="C101" s="3"/>
      <c r="D101" s="3"/>
      <c r="E101" s="3" t="s">
        <v>97</v>
      </c>
      <c r="F101" s="3"/>
      <c r="G101" s="93">
        <v>11543340</v>
      </c>
      <c r="H101" s="9"/>
      <c r="I101" s="93">
        <v>11543340</v>
      </c>
      <c r="J101" s="13"/>
      <c r="K101" s="112">
        <f t="shared" si="23"/>
        <v>11543340</v>
      </c>
      <c r="L101" s="59">
        <v>123024</v>
      </c>
      <c r="M101" s="77">
        <v>4478799</v>
      </c>
      <c r="N101" s="59">
        <v>197276</v>
      </c>
      <c r="O101" s="69">
        <f>49613-3226</f>
        <v>46387</v>
      </c>
      <c r="P101" s="81">
        <v>280061</v>
      </c>
      <c r="Q101" s="81">
        <v>0</v>
      </c>
      <c r="R101" s="100">
        <f t="shared" si="16"/>
        <v>5125547</v>
      </c>
      <c r="S101" s="8"/>
      <c r="T101" s="25"/>
      <c r="U101" s="112">
        <f t="shared" si="22"/>
        <v>16668887</v>
      </c>
      <c r="V101" s="59"/>
      <c r="W101" s="59">
        <v>0</v>
      </c>
      <c r="X101" s="93">
        <v>140655</v>
      </c>
      <c r="Y101" s="69">
        <v>291807</v>
      </c>
      <c r="Z101" s="77">
        <f t="shared" si="18"/>
        <v>432462</v>
      </c>
      <c r="AA101" s="100">
        <f t="shared" si="19"/>
        <v>432462</v>
      </c>
      <c r="AB101" s="59"/>
      <c r="AC101" s="107"/>
      <c r="AD101" s="128">
        <f t="shared" si="20"/>
        <v>17101349</v>
      </c>
    </row>
    <row r="102" spans="1:30" x14ac:dyDescent="0.15">
      <c r="A102" s="24"/>
      <c r="B102" s="3"/>
      <c r="C102" s="3"/>
      <c r="D102" s="3"/>
      <c r="E102" s="3" t="s">
        <v>98</v>
      </c>
      <c r="F102" s="3"/>
      <c r="G102" s="93">
        <v>756992</v>
      </c>
      <c r="H102" s="9"/>
      <c r="I102" s="93">
        <v>756992</v>
      </c>
      <c r="J102" s="13"/>
      <c r="K102" s="112">
        <f t="shared" si="23"/>
        <v>756992</v>
      </c>
      <c r="L102" s="59">
        <v>16094</v>
      </c>
      <c r="M102" s="77">
        <v>258068</v>
      </c>
      <c r="N102" s="59">
        <v>12404</v>
      </c>
      <c r="O102" s="69">
        <v>3341</v>
      </c>
      <c r="P102" s="81">
        <v>16751</v>
      </c>
      <c r="Q102" s="81">
        <v>0</v>
      </c>
      <c r="R102" s="100">
        <f t="shared" si="16"/>
        <v>306658</v>
      </c>
      <c r="S102" s="8"/>
      <c r="T102" s="25"/>
      <c r="U102" s="112">
        <f t="shared" si="22"/>
        <v>1063650</v>
      </c>
      <c r="V102" s="59"/>
      <c r="W102" s="59">
        <v>0</v>
      </c>
      <c r="X102" s="93">
        <v>9817</v>
      </c>
      <c r="Y102" s="69">
        <v>12572</v>
      </c>
      <c r="Z102" s="77">
        <f t="shared" si="18"/>
        <v>22389</v>
      </c>
      <c r="AA102" s="100">
        <f t="shared" si="19"/>
        <v>22389</v>
      </c>
      <c r="AB102" s="59"/>
      <c r="AC102" s="107"/>
      <c r="AD102" s="128">
        <f t="shared" si="20"/>
        <v>1086039</v>
      </c>
    </row>
    <row r="103" spans="1:30" x14ac:dyDescent="0.15">
      <c r="A103" s="24"/>
      <c r="B103" s="3"/>
      <c r="C103" s="3"/>
      <c r="D103" s="3"/>
      <c r="E103" s="3" t="s">
        <v>99</v>
      </c>
      <c r="F103" s="3"/>
      <c r="G103" s="93">
        <v>944875</v>
      </c>
      <c r="H103" s="9"/>
      <c r="I103" s="93">
        <v>944875</v>
      </c>
      <c r="J103" s="13"/>
      <c r="K103" s="112">
        <f t="shared" si="23"/>
        <v>944875</v>
      </c>
      <c r="L103" s="59">
        <v>0</v>
      </c>
      <c r="M103" s="77">
        <v>165311</v>
      </c>
      <c r="N103" s="59">
        <v>0</v>
      </c>
      <c r="O103" s="69">
        <v>0</v>
      </c>
      <c r="P103" s="81">
        <v>0</v>
      </c>
      <c r="Q103" s="81">
        <v>0</v>
      </c>
      <c r="R103" s="100">
        <f t="shared" si="16"/>
        <v>165311</v>
      </c>
      <c r="S103" s="8"/>
      <c r="T103" s="25"/>
      <c r="U103" s="112">
        <f t="shared" si="22"/>
        <v>1110186</v>
      </c>
      <c r="V103" s="59"/>
      <c r="W103" s="59">
        <v>0</v>
      </c>
      <c r="X103" s="93">
        <v>2840</v>
      </c>
      <c r="Y103" s="69"/>
      <c r="Z103" s="77">
        <f t="shared" si="18"/>
        <v>2840</v>
      </c>
      <c r="AA103" s="100">
        <f t="shared" si="19"/>
        <v>2840</v>
      </c>
      <c r="AB103" s="59"/>
      <c r="AC103" s="107"/>
      <c r="AD103" s="128">
        <f t="shared" si="20"/>
        <v>1113026</v>
      </c>
    </row>
    <row r="104" spans="1:30" x14ac:dyDescent="0.15">
      <c r="A104" s="24"/>
      <c r="B104" s="3"/>
      <c r="C104" s="3"/>
      <c r="D104" s="3"/>
      <c r="E104" s="3" t="s">
        <v>2</v>
      </c>
      <c r="F104" s="3"/>
      <c r="G104" s="93">
        <v>1047706</v>
      </c>
      <c r="H104" s="9"/>
      <c r="I104" s="93">
        <v>1047706</v>
      </c>
      <c r="J104" s="13"/>
      <c r="K104" s="112">
        <f t="shared" si="23"/>
        <v>1047706</v>
      </c>
      <c r="L104" s="59">
        <v>0</v>
      </c>
      <c r="M104" s="77">
        <v>0</v>
      </c>
      <c r="N104" s="59">
        <v>0</v>
      </c>
      <c r="O104" s="69">
        <v>0</v>
      </c>
      <c r="P104" s="81">
        <v>0</v>
      </c>
      <c r="Q104" s="81">
        <v>0</v>
      </c>
      <c r="R104" s="100">
        <f t="shared" si="16"/>
        <v>0</v>
      </c>
      <c r="S104" s="8"/>
      <c r="T104" s="25"/>
      <c r="U104" s="112">
        <f t="shared" si="22"/>
        <v>1047706</v>
      </c>
      <c r="V104" s="59">
        <v>22</v>
      </c>
      <c r="W104" s="59">
        <v>0</v>
      </c>
      <c r="X104" s="93">
        <v>0</v>
      </c>
      <c r="Y104" s="69"/>
      <c r="Z104" s="77">
        <f t="shared" si="18"/>
        <v>0</v>
      </c>
      <c r="AA104" s="100">
        <f t="shared" si="19"/>
        <v>22</v>
      </c>
      <c r="AB104" s="59"/>
      <c r="AC104" s="107"/>
      <c r="AD104" s="128">
        <f t="shared" si="20"/>
        <v>1047728</v>
      </c>
    </row>
    <row r="105" spans="1:30" x14ac:dyDescent="0.15">
      <c r="A105" s="24"/>
      <c r="B105" s="3"/>
      <c r="C105" s="3"/>
      <c r="D105" s="3" t="s">
        <v>100</v>
      </c>
      <c r="E105" s="3"/>
      <c r="F105" s="3"/>
      <c r="G105" s="93">
        <v>13523174</v>
      </c>
      <c r="H105" s="9"/>
      <c r="I105" s="93">
        <v>13523174</v>
      </c>
      <c r="J105" s="13"/>
      <c r="K105" s="112">
        <f t="shared" si="23"/>
        <v>13523174</v>
      </c>
      <c r="L105" s="59">
        <v>3041298</v>
      </c>
      <c r="M105" s="77">
        <v>5484279</v>
      </c>
      <c r="N105" s="59">
        <v>330416</v>
      </c>
      <c r="O105" s="69">
        <f>62735-49613</f>
        <v>13122</v>
      </c>
      <c r="P105" s="81">
        <v>434998</v>
      </c>
      <c r="Q105" s="81">
        <v>24385</v>
      </c>
      <c r="R105" s="100">
        <f t="shared" si="16"/>
        <v>9328498</v>
      </c>
      <c r="S105" s="8"/>
      <c r="T105" s="25"/>
      <c r="U105" s="112">
        <f t="shared" si="22"/>
        <v>22851672</v>
      </c>
      <c r="V105" s="59">
        <v>109035</v>
      </c>
      <c r="W105" s="59">
        <v>562</v>
      </c>
      <c r="X105" s="93">
        <v>478021</v>
      </c>
      <c r="Y105" s="69">
        <v>94821</v>
      </c>
      <c r="Z105" s="77">
        <f t="shared" si="18"/>
        <v>572842</v>
      </c>
      <c r="AA105" s="100">
        <f t="shared" si="19"/>
        <v>682439</v>
      </c>
      <c r="AB105" s="59"/>
      <c r="AC105" s="107"/>
      <c r="AD105" s="128">
        <f t="shared" si="20"/>
        <v>23534111</v>
      </c>
    </row>
    <row r="106" spans="1:30" x14ac:dyDescent="0.15">
      <c r="A106" s="24"/>
      <c r="B106" s="3"/>
      <c r="C106" s="3"/>
      <c r="D106" s="3"/>
      <c r="E106" s="3" t="s">
        <v>9</v>
      </c>
      <c r="F106" s="3"/>
      <c r="G106" s="93">
        <v>10344268</v>
      </c>
      <c r="H106" s="9"/>
      <c r="I106" s="93">
        <v>10344268</v>
      </c>
      <c r="J106" s="13"/>
      <c r="K106" s="112">
        <f t="shared" si="23"/>
        <v>10344268</v>
      </c>
      <c r="L106" s="59">
        <v>480716</v>
      </c>
      <c r="M106" s="77">
        <v>4482321</v>
      </c>
      <c r="N106" s="59">
        <v>330416</v>
      </c>
      <c r="O106" s="69">
        <f>62735-49613</f>
        <v>13122</v>
      </c>
      <c r="P106" s="81">
        <v>434998</v>
      </c>
      <c r="Q106" s="81">
        <v>24385</v>
      </c>
      <c r="R106" s="100">
        <f t="shared" si="16"/>
        <v>5765958</v>
      </c>
      <c r="S106" s="8"/>
      <c r="T106" s="25"/>
      <c r="U106" s="112">
        <f t="shared" si="22"/>
        <v>16110226</v>
      </c>
      <c r="V106" s="59">
        <v>109035</v>
      </c>
      <c r="W106" s="59">
        <v>562</v>
      </c>
      <c r="X106" s="93">
        <v>462538</v>
      </c>
      <c r="Y106" s="69">
        <v>76909</v>
      </c>
      <c r="Z106" s="77">
        <f t="shared" si="18"/>
        <v>539447</v>
      </c>
      <c r="AA106" s="100">
        <f t="shared" si="19"/>
        <v>649044</v>
      </c>
      <c r="AB106" s="59"/>
      <c r="AC106" s="107"/>
      <c r="AD106" s="128">
        <f t="shared" si="20"/>
        <v>16759270</v>
      </c>
    </row>
    <row r="107" spans="1:30" x14ac:dyDescent="0.15">
      <c r="A107" s="24"/>
      <c r="B107" s="3"/>
      <c r="C107" s="3"/>
      <c r="D107" s="3"/>
      <c r="E107" s="3" t="s">
        <v>10</v>
      </c>
      <c r="F107" s="3"/>
      <c r="G107" s="93">
        <v>75772</v>
      </c>
      <c r="H107" s="9"/>
      <c r="I107" s="93">
        <v>75772</v>
      </c>
      <c r="J107" s="13"/>
      <c r="K107" s="112">
        <f t="shared" si="23"/>
        <v>75772</v>
      </c>
      <c r="L107" s="59">
        <v>123590</v>
      </c>
      <c r="M107" s="77">
        <v>106047</v>
      </c>
      <c r="N107" s="59">
        <v>0</v>
      </c>
      <c r="O107" s="69">
        <v>0</v>
      </c>
      <c r="P107" s="81">
        <v>0</v>
      </c>
      <c r="Q107" s="81">
        <v>0</v>
      </c>
      <c r="R107" s="100">
        <f t="shared" si="16"/>
        <v>229637</v>
      </c>
      <c r="S107" s="8"/>
      <c r="T107" s="25"/>
      <c r="U107" s="112">
        <f t="shared" si="22"/>
        <v>305409</v>
      </c>
      <c r="V107" s="59">
        <v>0</v>
      </c>
      <c r="W107" s="59">
        <v>0</v>
      </c>
      <c r="X107" s="93">
        <v>13337</v>
      </c>
      <c r="Y107" s="69">
        <v>14651</v>
      </c>
      <c r="Z107" s="77">
        <f t="shared" si="18"/>
        <v>27988</v>
      </c>
      <c r="AA107" s="100">
        <f t="shared" si="19"/>
        <v>27988</v>
      </c>
      <c r="AB107" s="59"/>
      <c r="AC107" s="107"/>
      <c r="AD107" s="128">
        <f t="shared" si="20"/>
        <v>333397</v>
      </c>
    </row>
    <row r="108" spans="1:30" x14ac:dyDescent="0.15">
      <c r="A108" s="24"/>
      <c r="B108" s="3"/>
      <c r="C108" s="3"/>
      <c r="D108" s="3"/>
      <c r="E108" s="3" t="s">
        <v>11</v>
      </c>
      <c r="F108" s="3"/>
      <c r="G108" s="93">
        <v>3081996</v>
      </c>
      <c r="H108" s="9"/>
      <c r="I108" s="93">
        <v>3081996</v>
      </c>
      <c r="J108" s="13"/>
      <c r="K108" s="112">
        <f t="shared" si="23"/>
        <v>3081996</v>
      </c>
      <c r="L108" s="59">
        <v>2436992</v>
      </c>
      <c r="M108" s="77">
        <v>895911</v>
      </c>
      <c r="N108" s="59">
        <v>0</v>
      </c>
      <c r="O108" s="69">
        <v>0</v>
      </c>
      <c r="P108" s="81">
        <v>0</v>
      </c>
      <c r="Q108" s="81">
        <v>0</v>
      </c>
      <c r="R108" s="100">
        <f t="shared" si="16"/>
        <v>3332903</v>
      </c>
      <c r="S108" s="8"/>
      <c r="T108" s="25"/>
      <c r="U108" s="112">
        <f t="shared" si="22"/>
        <v>6414899</v>
      </c>
      <c r="V108" s="59">
        <v>0</v>
      </c>
      <c r="W108" s="59">
        <v>0</v>
      </c>
      <c r="X108" s="93">
        <v>842</v>
      </c>
      <c r="Y108" s="69">
        <v>3261</v>
      </c>
      <c r="Z108" s="77">
        <f t="shared" si="18"/>
        <v>4103</v>
      </c>
      <c r="AA108" s="100">
        <f t="shared" si="19"/>
        <v>4103</v>
      </c>
      <c r="AB108" s="59"/>
      <c r="AC108" s="107"/>
      <c r="AD108" s="128">
        <f t="shared" si="20"/>
        <v>6419002</v>
      </c>
    </row>
    <row r="109" spans="1:30" x14ac:dyDescent="0.15">
      <c r="A109" s="24"/>
      <c r="B109" s="3"/>
      <c r="C109" s="3"/>
      <c r="D109" s="3"/>
      <c r="E109" s="3" t="s">
        <v>2</v>
      </c>
      <c r="F109" s="3"/>
      <c r="G109" s="93">
        <v>21138</v>
      </c>
      <c r="H109" s="9"/>
      <c r="I109" s="93">
        <v>21138</v>
      </c>
      <c r="J109" s="13"/>
      <c r="K109" s="112">
        <f t="shared" si="23"/>
        <v>21138</v>
      </c>
      <c r="L109" s="59">
        <v>0</v>
      </c>
      <c r="M109" s="77">
        <v>0</v>
      </c>
      <c r="N109" s="59">
        <v>0</v>
      </c>
      <c r="O109" s="69">
        <v>0</v>
      </c>
      <c r="P109" s="81">
        <v>0</v>
      </c>
      <c r="Q109" s="81">
        <v>0</v>
      </c>
      <c r="R109" s="100">
        <f t="shared" si="16"/>
        <v>0</v>
      </c>
      <c r="S109" s="8"/>
      <c r="T109" s="25"/>
      <c r="U109" s="112">
        <f t="shared" si="22"/>
        <v>21138</v>
      </c>
      <c r="V109" s="59">
        <v>0</v>
      </c>
      <c r="W109" s="59">
        <v>0</v>
      </c>
      <c r="X109" s="93">
        <v>1304</v>
      </c>
      <c r="Y109" s="69"/>
      <c r="Z109" s="77">
        <f t="shared" si="18"/>
        <v>1304</v>
      </c>
      <c r="AA109" s="100">
        <f t="shared" si="19"/>
        <v>1304</v>
      </c>
      <c r="AB109" s="59"/>
      <c r="AC109" s="107"/>
      <c r="AD109" s="128">
        <f t="shared" si="20"/>
        <v>22442</v>
      </c>
    </row>
    <row r="110" spans="1:30" x14ac:dyDescent="0.15">
      <c r="A110" s="24"/>
      <c r="B110" s="3"/>
      <c r="C110" s="3"/>
      <c r="D110" s="3" t="s">
        <v>30</v>
      </c>
      <c r="E110" s="3"/>
      <c r="F110" s="3"/>
      <c r="G110" s="93">
        <v>700122</v>
      </c>
      <c r="H110" s="9"/>
      <c r="I110" s="93">
        <v>700122</v>
      </c>
      <c r="J110" s="13"/>
      <c r="K110" s="112">
        <f t="shared" si="23"/>
        <v>700122</v>
      </c>
      <c r="L110" s="59">
        <v>781314</v>
      </c>
      <c r="M110" s="77">
        <v>675420</v>
      </c>
      <c r="N110" s="59">
        <v>341782</v>
      </c>
      <c r="O110" s="69">
        <f>SUM(O111:O113)</f>
        <v>236880</v>
      </c>
      <c r="P110" s="81">
        <v>93503</v>
      </c>
      <c r="Q110" s="81">
        <v>2796</v>
      </c>
      <c r="R110" s="100">
        <f t="shared" si="16"/>
        <v>2131695</v>
      </c>
      <c r="S110" s="8"/>
      <c r="T110" s="107">
        <v>-32833</v>
      </c>
      <c r="U110" s="112">
        <f t="shared" si="22"/>
        <v>2798984</v>
      </c>
      <c r="V110" s="59">
        <v>397203</v>
      </c>
      <c r="W110" s="59">
        <v>253</v>
      </c>
      <c r="X110" s="93">
        <v>14798</v>
      </c>
      <c r="Y110" s="69"/>
      <c r="Z110" s="77">
        <f t="shared" si="18"/>
        <v>14798</v>
      </c>
      <c r="AA110" s="100">
        <f t="shared" si="19"/>
        <v>412254</v>
      </c>
      <c r="AB110" s="59"/>
      <c r="AC110" s="107"/>
      <c r="AD110" s="128">
        <f t="shared" si="20"/>
        <v>3211238</v>
      </c>
    </row>
    <row r="111" spans="1:30" x14ac:dyDescent="0.15">
      <c r="A111" s="24"/>
      <c r="B111" s="3"/>
      <c r="C111" s="3"/>
      <c r="D111" s="3"/>
      <c r="E111" s="3" t="s">
        <v>12</v>
      </c>
      <c r="F111" s="3"/>
      <c r="G111" s="93">
        <v>450299</v>
      </c>
      <c r="H111" s="9"/>
      <c r="I111" s="93">
        <v>450299</v>
      </c>
      <c r="J111" s="13"/>
      <c r="K111" s="112">
        <f t="shared" si="23"/>
        <v>450299</v>
      </c>
      <c r="L111" s="59">
        <v>754077</v>
      </c>
      <c r="M111" s="77">
        <v>155546</v>
      </c>
      <c r="N111" s="59">
        <v>0</v>
      </c>
      <c r="O111" s="69">
        <v>0</v>
      </c>
      <c r="P111" s="81">
        <v>0</v>
      </c>
      <c r="Q111" s="81">
        <v>2796</v>
      </c>
      <c r="R111" s="100">
        <f t="shared" si="16"/>
        <v>912419</v>
      </c>
      <c r="S111" s="8"/>
      <c r="T111" s="25"/>
      <c r="U111" s="112">
        <f t="shared" si="22"/>
        <v>1362718</v>
      </c>
      <c r="V111" s="59">
        <v>0</v>
      </c>
      <c r="W111" s="59">
        <v>0</v>
      </c>
      <c r="X111" s="93">
        <v>0</v>
      </c>
      <c r="Y111" s="69"/>
      <c r="Z111" s="77">
        <f t="shared" si="18"/>
        <v>0</v>
      </c>
      <c r="AA111" s="100">
        <f t="shared" si="19"/>
        <v>0</v>
      </c>
      <c r="AB111" s="59"/>
      <c r="AC111" s="107"/>
      <c r="AD111" s="128">
        <f t="shared" si="20"/>
        <v>1362718</v>
      </c>
    </row>
    <row r="112" spans="1:30" x14ac:dyDescent="0.15">
      <c r="A112" s="24"/>
      <c r="B112" s="3"/>
      <c r="C112" s="3"/>
      <c r="D112" s="3"/>
      <c r="E112" s="3" t="s">
        <v>13</v>
      </c>
      <c r="F112" s="3"/>
      <c r="G112" s="93">
        <v>6268</v>
      </c>
      <c r="H112" s="9"/>
      <c r="I112" s="93">
        <v>6268</v>
      </c>
      <c r="J112" s="13"/>
      <c r="K112" s="112">
        <f t="shared" si="23"/>
        <v>6268</v>
      </c>
      <c r="L112" s="59">
        <v>667</v>
      </c>
      <c r="M112" s="77">
        <v>390</v>
      </c>
      <c r="N112" s="59">
        <v>285360</v>
      </c>
      <c r="O112" s="69">
        <v>9170</v>
      </c>
      <c r="P112" s="81">
        <v>26000</v>
      </c>
      <c r="Q112" s="81">
        <v>0</v>
      </c>
      <c r="R112" s="100">
        <f t="shared" si="16"/>
        <v>321587</v>
      </c>
      <c r="S112" s="8"/>
      <c r="T112" s="25"/>
      <c r="U112" s="112">
        <f t="shared" si="22"/>
        <v>327855</v>
      </c>
      <c r="V112" s="59">
        <v>0</v>
      </c>
      <c r="W112" s="59">
        <v>0</v>
      </c>
      <c r="X112" s="93">
        <v>0</v>
      </c>
      <c r="Y112" s="69"/>
      <c r="Z112" s="77">
        <f t="shared" si="18"/>
        <v>0</v>
      </c>
      <c r="AA112" s="100">
        <f t="shared" si="19"/>
        <v>0</v>
      </c>
      <c r="AB112" s="59"/>
      <c r="AC112" s="107"/>
      <c r="AD112" s="128">
        <f t="shared" si="20"/>
        <v>327855</v>
      </c>
    </row>
    <row r="113" spans="1:30" x14ac:dyDescent="0.15">
      <c r="A113" s="24"/>
      <c r="B113" s="3"/>
      <c r="C113" s="3"/>
      <c r="D113" s="3"/>
      <c r="E113" s="3" t="s">
        <v>2</v>
      </c>
      <c r="F113" s="3"/>
      <c r="G113" s="93">
        <v>243555</v>
      </c>
      <c r="H113" s="9"/>
      <c r="I113" s="93">
        <v>243555</v>
      </c>
      <c r="J113" s="13"/>
      <c r="K113" s="112">
        <f t="shared" si="23"/>
        <v>243555</v>
      </c>
      <c r="L113" s="59">
        <v>26570</v>
      </c>
      <c r="M113" s="77">
        <v>519484</v>
      </c>
      <c r="N113" s="59">
        <v>56422</v>
      </c>
      <c r="O113" s="69">
        <v>227710</v>
      </c>
      <c r="P113" s="81">
        <v>67503</v>
      </c>
      <c r="Q113" s="81">
        <v>0</v>
      </c>
      <c r="R113" s="100">
        <f t="shared" si="16"/>
        <v>897689</v>
      </c>
      <c r="S113" s="8"/>
      <c r="T113" s="107">
        <v>-32833</v>
      </c>
      <c r="U113" s="112">
        <f t="shared" si="22"/>
        <v>1108411</v>
      </c>
      <c r="V113" s="59">
        <v>397203</v>
      </c>
      <c r="W113" s="59">
        <v>253</v>
      </c>
      <c r="X113" s="93">
        <v>14798</v>
      </c>
      <c r="Y113" s="69"/>
      <c r="Z113" s="77">
        <f t="shared" si="18"/>
        <v>14798</v>
      </c>
      <c r="AA113" s="100">
        <f t="shared" si="19"/>
        <v>412254</v>
      </c>
      <c r="AB113" s="59"/>
      <c r="AC113" s="107"/>
      <c r="AD113" s="128">
        <f t="shared" si="20"/>
        <v>1520665</v>
      </c>
    </row>
    <row r="114" spans="1:30" x14ac:dyDescent="0.15">
      <c r="A114" s="24"/>
      <c r="B114" s="3"/>
      <c r="C114" s="3" t="s">
        <v>14</v>
      </c>
      <c r="D114" s="3"/>
      <c r="E114" s="3"/>
      <c r="F114" s="3"/>
      <c r="G114" s="93">
        <v>31987899</v>
      </c>
      <c r="H114" s="9"/>
      <c r="I114" s="93">
        <v>31987899</v>
      </c>
      <c r="J114" s="110"/>
      <c r="K114" s="112">
        <f t="shared" si="23"/>
        <v>31987899</v>
      </c>
      <c r="L114" s="59">
        <v>1069937</v>
      </c>
      <c r="M114" s="77">
        <v>0</v>
      </c>
      <c r="N114" s="59">
        <v>25613732</v>
      </c>
      <c r="O114" s="69">
        <f>2987569</f>
        <v>2987569</v>
      </c>
      <c r="P114" s="81">
        <v>12494067</v>
      </c>
      <c r="Q114" s="81">
        <v>0</v>
      </c>
      <c r="R114" s="100">
        <f t="shared" si="16"/>
        <v>42165305</v>
      </c>
      <c r="S114" s="154"/>
      <c r="T114" s="155">
        <f>SUM(T115:T118)</f>
        <v>-9244245</v>
      </c>
      <c r="U114" s="112">
        <f t="shared" si="22"/>
        <v>64908959</v>
      </c>
      <c r="V114" s="59">
        <v>21256557</v>
      </c>
      <c r="W114" s="59">
        <v>6134</v>
      </c>
      <c r="X114" s="93">
        <v>29816</v>
      </c>
      <c r="Y114" s="69">
        <v>13805</v>
      </c>
      <c r="Z114" s="77">
        <f t="shared" si="18"/>
        <v>43621</v>
      </c>
      <c r="AA114" s="100">
        <f t="shared" si="19"/>
        <v>21306312</v>
      </c>
      <c r="AB114" s="59"/>
      <c r="AC114" s="107">
        <v>-13544</v>
      </c>
      <c r="AD114" s="128">
        <f t="shared" si="20"/>
        <v>86201727</v>
      </c>
    </row>
    <row r="115" spans="1:30" x14ac:dyDescent="0.15">
      <c r="A115" s="24"/>
      <c r="B115" s="3"/>
      <c r="C115" s="3"/>
      <c r="D115" s="3" t="s">
        <v>101</v>
      </c>
      <c r="E115" s="3"/>
      <c r="F115" s="3"/>
      <c r="G115" s="93">
        <v>7101108</v>
      </c>
      <c r="H115" s="9"/>
      <c r="I115" s="93">
        <v>7101108</v>
      </c>
      <c r="J115" s="100"/>
      <c r="K115" s="112">
        <f t="shared" si="23"/>
        <v>7101108</v>
      </c>
      <c r="L115" s="59">
        <v>1069937</v>
      </c>
      <c r="M115" s="77">
        <v>0</v>
      </c>
      <c r="N115" s="59">
        <v>10036634</v>
      </c>
      <c r="O115" s="69">
        <f>2987569</f>
        <v>2987569</v>
      </c>
      <c r="P115" s="81">
        <v>0</v>
      </c>
      <c r="Q115" s="81">
        <v>0</v>
      </c>
      <c r="R115" s="100">
        <f t="shared" si="16"/>
        <v>14094140</v>
      </c>
      <c r="S115" s="154"/>
      <c r="T115" s="77">
        <f>-1803636-1370000</f>
        <v>-3173636</v>
      </c>
      <c r="U115" s="112">
        <f t="shared" si="22"/>
        <v>18021612</v>
      </c>
      <c r="V115" s="59">
        <v>21256557</v>
      </c>
      <c r="W115" s="59">
        <v>6134</v>
      </c>
      <c r="X115" s="93">
        <v>29816</v>
      </c>
      <c r="Y115" s="69">
        <v>13805</v>
      </c>
      <c r="Z115" s="77">
        <f t="shared" si="18"/>
        <v>43621</v>
      </c>
      <c r="AA115" s="100">
        <f t="shared" si="19"/>
        <v>21306312</v>
      </c>
      <c r="AB115" s="59"/>
      <c r="AC115" s="107"/>
      <c r="AD115" s="128">
        <f t="shared" si="20"/>
        <v>39327924</v>
      </c>
    </row>
    <row r="116" spans="1:30" x14ac:dyDescent="0.15">
      <c r="A116" s="24"/>
      <c r="B116" s="3"/>
      <c r="C116" s="3"/>
      <c r="D116" s="3" t="s">
        <v>15</v>
      </c>
      <c r="E116" s="3"/>
      <c r="F116" s="3"/>
      <c r="G116" s="93">
        <v>18801816</v>
      </c>
      <c r="H116" s="9"/>
      <c r="I116" s="93">
        <v>18801816</v>
      </c>
      <c r="J116" s="13"/>
      <c r="K116" s="112">
        <f t="shared" si="23"/>
        <v>18801816</v>
      </c>
      <c r="L116" s="59">
        <v>0</v>
      </c>
      <c r="M116" s="77">
        <v>0</v>
      </c>
      <c r="N116" s="59">
        <v>15556078</v>
      </c>
      <c r="O116" s="69">
        <v>0</v>
      </c>
      <c r="P116" s="81">
        <v>12494067</v>
      </c>
      <c r="Q116" s="81">
        <v>0</v>
      </c>
      <c r="R116" s="100">
        <f t="shared" si="16"/>
        <v>28050145</v>
      </c>
      <c r="S116" s="154"/>
      <c r="T116" s="9"/>
      <c r="U116" s="112">
        <f t="shared" si="22"/>
        <v>46851961</v>
      </c>
      <c r="V116" s="59">
        <v>0</v>
      </c>
      <c r="W116" s="59">
        <v>0</v>
      </c>
      <c r="X116" s="93">
        <v>0</v>
      </c>
      <c r="Y116" s="69"/>
      <c r="Z116" s="77">
        <f t="shared" si="18"/>
        <v>0</v>
      </c>
      <c r="AA116" s="100">
        <f t="shared" si="19"/>
        <v>0</v>
      </c>
      <c r="AB116" s="59"/>
      <c r="AC116" s="107"/>
      <c r="AD116" s="128">
        <f t="shared" si="20"/>
        <v>46851961</v>
      </c>
    </row>
    <row r="117" spans="1:30" x14ac:dyDescent="0.15">
      <c r="A117" s="24"/>
      <c r="B117" s="3"/>
      <c r="C117" s="3"/>
      <c r="D117" s="3" t="s">
        <v>102</v>
      </c>
      <c r="E117" s="3"/>
      <c r="F117" s="3"/>
      <c r="G117" s="93">
        <v>6070609</v>
      </c>
      <c r="H117" s="9"/>
      <c r="I117" s="93">
        <v>6070609</v>
      </c>
      <c r="J117" s="108"/>
      <c r="K117" s="112">
        <f t="shared" si="23"/>
        <v>6070609</v>
      </c>
      <c r="L117" s="59">
        <v>0</v>
      </c>
      <c r="M117" s="77">
        <v>0</v>
      </c>
      <c r="N117" s="59">
        <v>21020</v>
      </c>
      <c r="O117" s="69">
        <v>0</v>
      </c>
      <c r="P117" s="81">
        <v>0</v>
      </c>
      <c r="Q117" s="81">
        <v>0</v>
      </c>
      <c r="R117" s="100">
        <f t="shared" si="16"/>
        <v>21020</v>
      </c>
      <c r="S117" s="154"/>
      <c r="T117" s="156">
        <v>-6070609</v>
      </c>
      <c r="U117" s="112">
        <f t="shared" si="22"/>
        <v>21020</v>
      </c>
      <c r="V117" s="59">
        <v>0</v>
      </c>
      <c r="W117" s="59">
        <v>0</v>
      </c>
      <c r="X117" s="93">
        <v>0</v>
      </c>
      <c r="Y117" s="69"/>
      <c r="Z117" s="77">
        <f t="shared" si="18"/>
        <v>0</v>
      </c>
      <c r="AA117" s="100">
        <f t="shared" si="19"/>
        <v>0</v>
      </c>
      <c r="AB117" s="59"/>
      <c r="AC117" s="107"/>
      <c r="AD117" s="128">
        <f t="shared" si="20"/>
        <v>21020</v>
      </c>
    </row>
    <row r="118" spans="1:30" x14ac:dyDescent="0.15">
      <c r="A118" s="24"/>
      <c r="B118" s="3"/>
      <c r="C118" s="3"/>
      <c r="D118" s="3" t="s">
        <v>2</v>
      </c>
      <c r="E118" s="3"/>
      <c r="F118" s="3"/>
      <c r="G118" s="93">
        <v>14366</v>
      </c>
      <c r="H118" s="9"/>
      <c r="I118" s="93">
        <v>14366</v>
      </c>
      <c r="J118" s="13"/>
      <c r="K118" s="112">
        <f t="shared" si="23"/>
        <v>14366</v>
      </c>
      <c r="L118" s="59">
        <v>0</v>
      </c>
      <c r="M118" s="77">
        <v>0</v>
      </c>
      <c r="N118" s="59">
        <v>0</v>
      </c>
      <c r="O118" s="69">
        <v>0</v>
      </c>
      <c r="P118" s="81">
        <v>0</v>
      </c>
      <c r="Q118" s="81">
        <v>0</v>
      </c>
      <c r="R118" s="100">
        <f t="shared" si="16"/>
        <v>0</v>
      </c>
      <c r="S118" s="8"/>
      <c r="T118" s="25"/>
      <c r="U118" s="112">
        <f t="shared" si="22"/>
        <v>14366</v>
      </c>
      <c r="V118" s="59">
        <v>0</v>
      </c>
      <c r="W118" s="59">
        <v>0</v>
      </c>
      <c r="X118" s="93">
        <v>0</v>
      </c>
      <c r="Y118" s="69"/>
      <c r="Z118" s="77">
        <f t="shared" si="18"/>
        <v>0</v>
      </c>
      <c r="AA118" s="100">
        <f t="shared" si="19"/>
        <v>0</v>
      </c>
      <c r="AB118" s="59"/>
      <c r="AC118" s="107">
        <v>-13544</v>
      </c>
      <c r="AD118" s="128">
        <f t="shared" si="20"/>
        <v>822</v>
      </c>
    </row>
    <row r="119" spans="1:30" x14ac:dyDescent="0.15">
      <c r="A119" s="24"/>
      <c r="B119" s="3" t="s">
        <v>16</v>
      </c>
      <c r="C119" s="3"/>
      <c r="D119" s="3"/>
      <c r="E119" s="3"/>
      <c r="F119" s="3"/>
      <c r="G119" s="93">
        <v>2269333</v>
      </c>
      <c r="H119" s="9"/>
      <c r="I119" s="93">
        <v>2269333</v>
      </c>
      <c r="J119" s="13"/>
      <c r="K119" s="112">
        <f t="shared" si="23"/>
        <v>2269333</v>
      </c>
      <c r="L119" s="59">
        <f>SUM(L120:L121)</f>
        <v>4458286</v>
      </c>
      <c r="M119" s="77">
        <f>SUM(M120:M121)</f>
        <v>9874946</v>
      </c>
      <c r="N119" s="59">
        <v>14444392</v>
      </c>
      <c r="O119" s="69">
        <f>SUM(O120:O121)</f>
        <v>638164</v>
      </c>
      <c r="P119" s="81">
        <v>5620415</v>
      </c>
      <c r="Q119" s="81">
        <v>70697</v>
      </c>
      <c r="R119" s="100">
        <f t="shared" si="16"/>
        <v>35106900</v>
      </c>
      <c r="S119" s="8"/>
      <c r="T119" s="107">
        <f>-9244245-32833</f>
        <v>-9277078</v>
      </c>
      <c r="U119" s="112">
        <f t="shared" si="22"/>
        <v>28099155</v>
      </c>
      <c r="V119" s="59">
        <v>31078</v>
      </c>
      <c r="W119" s="59">
        <v>35806</v>
      </c>
      <c r="X119" s="93">
        <v>687048</v>
      </c>
      <c r="Y119" s="69">
        <v>422774</v>
      </c>
      <c r="Z119" s="77">
        <f t="shared" si="18"/>
        <v>1109822</v>
      </c>
      <c r="AA119" s="100">
        <f t="shared" si="19"/>
        <v>1176706</v>
      </c>
      <c r="AB119" s="59"/>
      <c r="AC119" s="107"/>
      <c r="AD119" s="128">
        <f t="shared" si="20"/>
        <v>29275861</v>
      </c>
    </row>
    <row r="120" spans="1:30" x14ac:dyDescent="0.15">
      <c r="A120" s="24"/>
      <c r="B120" s="3"/>
      <c r="C120" s="3" t="s">
        <v>103</v>
      </c>
      <c r="D120" s="3"/>
      <c r="E120" s="3"/>
      <c r="F120" s="3"/>
      <c r="G120" s="93">
        <v>786600</v>
      </c>
      <c r="H120" s="9"/>
      <c r="I120" s="93">
        <v>786600</v>
      </c>
      <c r="J120" s="13"/>
      <c r="K120" s="112">
        <f t="shared" si="23"/>
        <v>786600</v>
      </c>
      <c r="L120" s="59">
        <v>2823544</v>
      </c>
      <c r="M120" s="77">
        <v>8854746</v>
      </c>
      <c r="N120" s="59">
        <v>0</v>
      </c>
      <c r="O120" s="69">
        <v>0</v>
      </c>
      <c r="P120" s="81">
        <v>0</v>
      </c>
      <c r="Q120" s="81">
        <v>0</v>
      </c>
      <c r="R120" s="100">
        <f t="shared" si="16"/>
        <v>11678290</v>
      </c>
      <c r="S120" s="8"/>
      <c r="T120" s="25"/>
      <c r="U120" s="112">
        <f t="shared" si="22"/>
        <v>12464890</v>
      </c>
      <c r="V120" s="59">
        <v>0</v>
      </c>
      <c r="W120" s="59">
        <v>35805</v>
      </c>
      <c r="X120" s="93">
        <v>668705</v>
      </c>
      <c r="Y120" s="69">
        <v>417303</v>
      </c>
      <c r="Z120" s="77">
        <f t="shared" si="18"/>
        <v>1086008</v>
      </c>
      <c r="AA120" s="100">
        <f t="shared" si="19"/>
        <v>1121813</v>
      </c>
      <c r="AB120" s="59"/>
      <c r="AC120" s="107"/>
      <c r="AD120" s="128">
        <f t="shared" si="20"/>
        <v>13586703</v>
      </c>
    </row>
    <row r="121" spans="1:30" x14ac:dyDescent="0.15">
      <c r="A121" s="31"/>
      <c r="B121" s="2"/>
      <c r="C121" s="2" t="s">
        <v>2</v>
      </c>
      <c r="D121" s="2"/>
      <c r="E121" s="2"/>
      <c r="F121" s="2"/>
      <c r="G121" s="95">
        <v>1482733</v>
      </c>
      <c r="H121" s="33"/>
      <c r="I121" s="95">
        <v>1482733</v>
      </c>
      <c r="J121" s="34"/>
      <c r="K121" s="114">
        <f t="shared" si="23"/>
        <v>1482733</v>
      </c>
      <c r="L121" s="63">
        <v>1634742</v>
      </c>
      <c r="M121" s="79">
        <v>1020200</v>
      </c>
      <c r="N121" s="63">
        <v>14444392</v>
      </c>
      <c r="O121" s="71">
        <v>638164</v>
      </c>
      <c r="P121" s="84">
        <v>5620415</v>
      </c>
      <c r="Q121" s="84">
        <v>70697</v>
      </c>
      <c r="R121" s="102">
        <f t="shared" si="16"/>
        <v>23428610</v>
      </c>
      <c r="S121" s="32"/>
      <c r="T121" s="109">
        <f>-9244245-32833</f>
        <v>-9277078</v>
      </c>
      <c r="U121" s="114">
        <f t="shared" si="22"/>
        <v>15634265</v>
      </c>
      <c r="V121" s="63">
        <v>31078</v>
      </c>
      <c r="W121" s="63">
        <v>1</v>
      </c>
      <c r="X121" s="95">
        <v>18343</v>
      </c>
      <c r="Y121" s="71">
        <v>5471</v>
      </c>
      <c r="Z121" s="79">
        <f t="shared" si="18"/>
        <v>23814</v>
      </c>
      <c r="AA121" s="102">
        <f t="shared" si="19"/>
        <v>54893</v>
      </c>
      <c r="AB121" s="63"/>
      <c r="AC121" s="109"/>
      <c r="AD121" s="133">
        <f t="shared" si="20"/>
        <v>15689158</v>
      </c>
    </row>
    <row r="122" spans="1:30" x14ac:dyDescent="0.15">
      <c r="A122" s="37" t="s">
        <v>22</v>
      </c>
      <c r="B122" s="22"/>
      <c r="C122" s="22"/>
      <c r="D122" s="22"/>
      <c r="E122" s="22"/>
      <c r="F122" s="22"/>
      <c r="G122" s="92">
        <f>G97-G123+G129</f>
        <v>-58203537</v>
      </c>
      <c r="H122" s="7"/>
      <c r="I122" s="92">
        <f>I97-I123+I129</f>
        <v>-58203537</v>
      </c>
      <c r="J122" s="99"/>
      <c r="K122" s="115">
        <f>I122-J122</f>
        <v>-58203537</v>
      </c>
      <c r="L122" s="61">
        <f>L97-L123+L129</f>
        <v>-573381</v>
      </c>
      <c r="M122" s="76">
        <f>M97-M123+M129</f>
        <v>-1186931</v>
      </c>
      <c r="N122" s="61">
        <v>-12051218</v>
      </c>
      <c r="O122" s="70">
        <f>O97-O123+O129</f>
        <v>-2645899</v>
      </c>
      <c r="P122" s="70">
        <f>P97-P123+P129</f>
        <v>-7698965</v>
      </c>
      <c r="Q122" s="70">
        <f>Q97-Q123+Q129</f>
        <v>43516</v>
      </c>
      <c r="R122" s="103">
        <f t="shared" si="16"/>
        <v>-24112878</v>
      </c>
      <c r="S122" s="6"/>
      <c r="T122" s="121">
        <f>T97</f>
        <v>0</v>
      </c>
      <c r="U122" s="115">
        <f>K122+R122-T122</f>
        <v>-82316415</v>
      </c>
      <c r="V122" s="61">
        <f>V97</f>
        <v>-21731739</v>
      </c>
      <c r="W122" s="61">
        <v>28857</v>
      </c>
      <c r="X122" s="92">
        <v>11101</v>
      </c>
      <c r="Y122" s="70">
        <v>9769</v>
      </c>
      <c r="Z122" s="76">
        <f t="shared" si="18"/>
        <v>20870</v>
      </c>
      <c r="AA122" s="103">
        <f t="shared" si="19"/>
        <v>-21682012</v>
      </c>
      <c r="AB122" s="61"/>
      <c r="AC122" s="119">
        <v>13544</v>
      </c>
      <c r="AD122" s="126">
        <f t="shared" si="20"/>
        <v>-103984883</v>
      </c>
    </row>
    <row r="123" spans="1:30" x14ac:dyDescent="0.15">
      <c r="A123" s="24"/>
      <c r="B123" s="3" t="s">
        <v>18</v>
      </c>
      <c r="C123" s="3"/>
      <c r="D123" s="3"/>
      <c r="E123" s="3"/>
      <c r="F123" s="3"/>
      <c r="G123" s="93">
        <v>3064</v>
      </c>
      <c r="H123" s="9"/>
      <c r="I123" s="93">
        <v>3064</v>
      </c>
      <c r="J123" s="13"/>
      <c r="K123" s="112">
        <f t="shared" si="23"/>
        <v>3064</v>
      </c>
      <c r="L123" s="59">
        <v>0</v>
      </c>
      <c r="M123" s="77">
        <v>0</v>
      </c>
      <c r="N123" s="59">
        <v>0</v>
      </c>
      <c r="O123" s="69">
        <v>0</v>
      </c>
      <c r="P123" s="81">
        <v>0</v>
      </c>
      <c r="Q123" s="81">
        <v>0</v>
      </c>
      <c r="R123" s="100">
        <f t="shared" si="16"/>
        <v>0</v>
      </c>
      <c r="S123" s="8"/>
      <c r="T123" s="25"/>
      <c r="U123" s="112">
        <f t="shared" si="22"/>
        <v>3064</v>
      </c>
      <c r="V123" s="59">
        <v>0</v>
      </c>
      <c r="W123" s="59">
        <v>0</v>
      </c>
      <c r="X123" s="93">
        <v>0</v>
      </c>
      <c r="Y123" s="69">
        <v>0</v>
      </c>
      <c r="Z123" s="77">
        <f t="shared" si="18"/>
        <v>0</v>
      </c>
      <c r="AA123" s="100">
        <f t="shared" si="19"/>
        <v>0</v>
      </c>
      <c r="AB123" s="59"/>
      <c r="AC123" s="107"/>
      <c r="AD123" s="128">
        <f t="shared" si="20"/>
        <v>3064</v>
      </c>
    </row>
    <row r="124" spans="1:30" x14ac:dyDescent="0.15">
      <c r="A124" s="24"/>
      <c r="B124" s="3"/>
      <c r="C124" s="3" t="s">
        <v>19</v>
      </c>
      <c r="D124" s="3"/>
      <c r="E124" s="3"/>
      <c r="F124" s="3"/>
      <c r="G124" s="93">
        <v>1038</v>
      </c>
      <c r="H124" s="9"/>
      <c r="I124" s="93">
        <v>1038</v>
      </c>
      <c r="J124" s="13"/>
      <c r="K124" s="112">
        <f t="shared" si="23"/>
        <v>1038</v>
      </c>
      <c r="L124" s="59"/>
      <c r="M124" s="77"/>
      <c r="N124" s="59"/>
      <c r="O124" s="69"/>
      <c r="P124" s="81"/>
      <c r="Q124" s="81"/>
      <c r="R124" s="100">
        <f t="shared" si="16"/>
        <v>0</v>
      </c>
      <c r="S124" s="8"/>
      <c r="T124" s="25"/>
      <c r="U124" s="112">
        <f t="shared" si="22"/>
        <v>1038</v>
      </c>
      <c r="V124" s="59"/>
      <c r="W124" s="59"/>
      <c r="X124" s="93"/>
      <c r="Y124" s="69"/>
      <c r="Z124" s="77"/>
      <c r="AA124" s="100">
        <f t="shared" si="19"/>
        <v>0</v>
      </c>
      <c r="AB124" s="59"/>
      <c r="AC124" s="107"/>
      <c r="AD124" s="128">
        <f t="shared" si="20"/>
        <v>1038</v>
      </c>
    </row>
    <row r="125" spans="1:30" x14ac:dyDescent="0.15">
      <c r="A125" s="24"/>
      <c r="B125" s="3"/>
      <c r="C125" s="3" t="s">
        <v>104</v>
      </c>
      <c r="D125" s="3"/>
      <c r="E125" s="3"/>
      <c r="F125" s="3"/>
      <c r="G125" s="93">
        <v>2026</v>
      </c>
      <c r="H125" s="9"/>
      <c r="I125" s="93">
        <v>2026</v>
      </c>
      <c r="J125" s="13"/>
      <c r="K125" s="112">
        <f t="shared" si="23"/>
        <v>2026</v>
      </c>
      <c r="L125" s="59"/>
      <c r="M125" s="77"/>
      <c r="N125" s="59"/>
      <c r="O125" s="69"/>
      <c r="P125" s="81"/>
      <c r="Q125" s="81"/>
      <c r="R125" s="100">
        <f t="shared" si="16"/>
        <v>0</v>
      </c>
      <c r="S125" s="8"/>
      <c r="T125" s="25"/>
      <c r="U125" s="112">
        <f t="shared" si="22"/>
        <v>2026</v>
      </c>
      <c r="V125" s="59"/>
      <c r="W125" s="59"/>
      <c r="X125" s="93"/>
      <c r="Y125" s="69"/>
      <c r="Z125" s="77"/>
      <c r="AA125" s="100">
        <f t="shared" si="19"/>
        <v>0</v>
      </c>
      <c r="AB125" s="59"/>
      <c r="AC125" s="107"/>
      <c r="AD125" s="128">
        <f t="shared" si="20"/>
        <v>2026</v>
      </c>
    </row>
    <row r="126" spans="1:30" x14ac:dyDescent="0.15">
      <c r="A126" s="24"/>
      <c r="B126" s="3"/>
      <c r="C126" s="3" t="s">
        <v>105</v>
      </c>
      <c r="D126" s="3"/>
      <c r="E126" s="3"/>
      <c r="F126" s="3"/>
      <c r="G126" s="93">
        <v>0</v>
      </c>
      <c r="H126" s="9"/>
      <c r="I126" s="93">
        <v>0</v>
      </c>
      <c r="J126" s="13"/>
      <c r="K126" s="112">
        <f t="shared" si="23"/>
        <v>0</v>
      </c>
      <c r="L126" s="59"/>
      <c r="M126" s="77"/>
      <c r="N126" s="59"/>
      <c r="O126" s="69"/>
      <c r="P126" s="81"/>
      <c r="Q126" s="81"/>
      <c r="R126" s="100">
        <f t="shared" si="16"/>
        <v>0</v>
      </c>
      <c r="S126" s="8"/>
      <c r="T126" s="25"/>
      <c r="U126" s="112">
        <f t="shared" si="22"/>
        <v>0</v>
      </c>
      <c r="V126" s="59"/>
      <c r="W126" s="59"/>
      <c r="X126" s="93"/>
      <c r="Y126" s="69"/>
      <c r="Z126" s="77"/>
      <c r="AA126" s="100">
        <f t="shared" si="19"/>
        <v>0</v>
      </c>
      <c r="AB126" s="59"/>
      <c r="AC126" s="107"/>
      <c r="AD126" s="128">
        <f t="shared" si="20"/>
        <v>0</v>
      </c>
    </row>
    <row r="127" spans="1:30" x14ac:dyDescent="0.15">
      <c r="A127" s="24"/>
      <c r="B127" s="3"/>
      <c r="C127" s="3" t="s">
        <v>106</v>
      </c>
      <c r="D127" s="3"/>
      <c r="E127" s="3"/>
      <c r="F127" s="3"/>
      <c r="G127" s="93">
        <v>0</v>
      </c>
      <c r="H127" s="9"/>
      <c r="I127" s="93">
        <v>0</v>
      </c>
      <c r="J127" s="13"/>
      <c r="K127" s="112">
        <f t="shared" si="23"/>
        <v>0</v>
      </c>
      <c r="L127" s="59"/>
      <c r="M127" s="77"/>
      <c r="N127" s="59"/>
      <c r="O127" s="69"/>
      <c r="P127" s="81"/>
      <c r="Q127" s="81"/>
      <c r="R127" s="100">
        <f t="shared" si="16"/>
        <v>0</v>
      </c>
      <c r="S127" s="8"/>
      <c r="T127" s="25"/>
      <c r="U127" s="112">
        <f t="shared" si="22"/>
        <v>0</v>
      </c>
      <c r="V127" s="59"/>
      <c r="W127" s="59"/>
      <c r="X127" s="93"/>
      <c r="Y127" s="69"/>
      <c r="Z127" s="77"/>
      <c r="AA127" s="100">
        <f t="shared" si="19"/>
        <v>0</v>
      </c>
      <c r="AB127" s="59"/>
      <c r="AC127" s="107"/>
      <c r="AD127" s="128">
        <f t="shared" si="20"/>
        <v>0</v>
      </c>
    </row>
    <row r="128" spans="1:30" x14ac:dyDescent="0.15">
      <c r="A128" s="24"/>
      <c r="B128" s="3"/>
      <c r="C128" s="3" t="s">
        <v>2</v>
      </c>
      <c r="D128" s="3"/>
      <c r="E128" s="3"/>
      <c r="F128" s="3"/>
      <c r="G128" s="93">
        <v>0</v>
      </c>
      <c r="H128" s="9"/>
      <c r="I128" s="93">
        <v>0</v>
      </c>
      <c r="J128" s="13"/>
      <c r="K128" s="112">
        <f t="shared" si="23"/>
        <v>0</v>
      </c>
      <c r="L128" s="59"/>
      <c r="M128" s="77"/>
      <c r="N128" s="59"/>
      <c r="O128" s="69"/>
      <c r="P128" s="81"/>
      <c r="Q128" s="81"/>
      <c r="R128" s="100">
        <f t="shared" si="16"/>
        <v>0</v>
      </c>
      <c r="S128" s="8"/>
      <c r="T128" s="25"/>
      <c r="U128" s="112">
        <f t="shared" si="22"/>
        <v>0</v>
      </c>
      <c r="V128" s="59"/>
      <c r="W128" s="59"/>
      <c r="X128" s="93"/>
      <c r="Y128" s="69"/>
      <c r="Z128" s="77"/>
      <c r="AA128" s="100">
        <f t="shared" si="19"/>
        <v>0</v>
      </c>
      <c r="AB128" s="59"/>
      <c r="AC128" s="107"/>
      <c r="AD128" s="128">
        <f t="shared" si="20"/>
        <v>0</v>
      </c>
    </row>
    <row r="129" spans="1:30" x14ac:dyDescent="0.15">
      <c r="A129" s="24"/>
      <c r="B129" s="3" t="s">
        <v>20</v>
      </c>
      <c r="C129" s="3"/>
      <c r="D129" s="3"/>
      <c r="E129" s="3"/>
      <c r="F129" s="3"/>
      <c r="G129" s="93">
        <v>34302</v>
      </c>
      <c r="H129" s="9"/>
      <c r="I129" s="93">
        <v>34302</v>
      </c>
      <c r="J129" s="13"/>
      <c r="K129" s="112">
        <f t="shared" si="23"/>
        <v>34302</v>
      </c>
      <c r="L129" s="59">
        <v>0</v>
      </c>
      <c r="M129" s="77">
        <v>0</v>
      </c>
      <c r="N129" s="59">
        <v>0</v>
      </c>
      <c r="O129" s="69">
        <v>3236</v>
      </c>
      <c r="P129" s="81">
        <v>0</v>
      </c>
      <c r="Q129" s="81">
        <v>0</v>
      </c>
      <c r="R129" s="100">
        <f t="shared" si="16"/>
        <v>3236</v>
      </c>
      <c r="S129" s="8"/>
      <c r="T129" s="25"/>
      <c r="U129" s="112">
        <f t="shared" si="22"/>
        <v>37538</v>
      </c>
      <c r="V129" s="59">
        <v>0</v>
      </c>
      <c r="W129" s="59">
        <v>0</v>
      </c>
      <c r="X129" s="93">
        <v>0</v>
      </c>
      <c r="Y129" s="69">
        <v>0</v>
      </c>
      <c r="Z129" s="77">
        <f t="shared" si="18"/>
        <v>0</v>
      </c>
      <c r="AA129" s="100">
        <f t="shared" si="19"/>
        <v>0</v>
      </c>
      <c r="AB129" s="59"/>
      <c r="AC129" s="107"/>
      <c r="AD129" s="128">
        <f t="shared" si="20"/>
        <v>37538</v>
      </c>
    </row>
    <row r="130" spans="1:30" x14ac:dyDescent="0.15">
      <c r="A130" s="24"/>
      <c r="B130" s="3" t="s">
        <v>59</v>
      </c>
      <c r="C130" s="3" t="s">
        <v>21</v>
      </c>
      <c r="D130" s="3"/>
      <c r="E130" s="3"/>
      <c r="F130" s="3"/>
      <c r="G130" s="93">
        <v>32993</v>
      </c>
      <c r="H130" s="9"/>
      <c r="I130" s="93">
        <v>32993</v>
      </c>
      <c r="J130" s="13"/>
      <c r="K130" s="112">
        <f t="shared" si="23"/>
        <v>32993</v>
      </c>
      <c r="L130" s="11"/>
      <c r="M130" s="77"/>
      <c r="N130" s="59"/>
      <c r="O130" s="69"/>
      <c r="P130" s="81"/>
      <c r="Q130" s="81"/>
      <c r="R130" s="100">
        <f t="shared" si="16"/>
        <v>0</v>
      </c>
      <c r="S130" s="8"/>
      <c r="T130" s="25"/>
      <c r="U130" s="112">
        <f t="shared" si="22"/>
        <v>32993</v>
      </c>
      <c r="V130" s="59"/>
      <c r="W130" s="59"/>
      <c r="X130" s="93"/>
      <c r="Y130" s="69"/>
      <c r="Z130" s="77"/>
      <c r="AA130" s="100">
        <f t="shared" si="19"/>
        <v>0</v>
      </c>
      <c r="AB130" s="59"/>
      <c r="AC130" s="107"/>
      <c r="AD130" s="128">
        <f t="shared" si="20"/>
        <v>32993</v>
      </c>
    </row>
    <row r="131" spans="1:30" x14ac:dyDescent="0.15">
      <c r="A131" s="31"/>
      <c r="B131" s="2"/>
      <c r="C131" s="2" t="s">
        <v>171</v>
      </c>
      <c r="D131" s="2"/>
      <c r="E131" s="2"/>
      <c r="F131" s="2"/>
      <c r="G131" s="95">
        <v>1309</v>
      </c>
      <c r="H131" s="33"/>
      <c r="I131" s="95">
        <v>1309</v>
      </c>
      <c r="J131" s="34"/>
      <c r="K131" s="114">
        <f t="shared" si="23"/>
        <v>1309</v>
      </c>
      <c r="L131" s="35"/>
      <c r="M131" s="79"/>
      <c r="N131" s="63"/>
      <c r="O131" s="71">
        <v>3236</v>
      </c>
      <c r="P131" s="84"/>
      <c r="Q131" s="84"/>
      <c r="R131" s="102">
        <f t="shared" si="16"/>
        <v>3236</v>
      </c>
      <c r="S131" s="32"/>
      <c r="T131" s="36"/>
      <c r="U131" s="114">
        <f t="shared" si="22"/>
        <v>4545</v>
      </c>
      <c r="V131" s="63"/>
      <c r="W131" s="63"/>
      <c r="X131" s="95"/>
      <c r="Y131" s="71"/>
      <c r="Z131" s="79"/>
      <c r="AA131" s="102">
        <f t="shared" si="19"/>
        <v>0</v>
      </c>
      <c r="AB131" s="63"/>
      <c r="AC131" s="109"/>
      <c r="AD131" s="133">
        <f t="shared" si="20"/>
        <v>4545</v>
      </c>
    </row>
    <row r="132" spans="1:30" x14ac:dyDescent="0.15">
      <c r="A132" s="10"/>
      <c r="B132" s="10"/>
      <c r="C132" s="10"/>
      <c r="D132" s="10"/>
      <c r="E132" s="10"/>
      <c r="F132" s="10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</row>
    <row r="133" spans="1:30" x14ac:dyDescent="0.15">
      <c r="A133" s="10"/>
      <c r="B133" s="10"/>
      <c r="C133" s="10"/>
      <c r="D133" s="10"/>
      <c r="E133" s="10"/>
      <c r="F133" s="10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</row>
    <row r="134" spans="1:30" x14ac:dyDescent="0.15">
      <c r="A134" s="10"/>
      <c r="B134" s="10"/>
      <c r="C134" s="10"/>
      <c r="D134" s="10"/>
      <c r="E134" s="10"/>
      <c r="F134" s="10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</row>
    <row r="135" spans="1:30" x14ac:dyDescent="0.15">
      <c r="A135" s="10"/>
      <c r="B135" s="10"/>
      <c r="C135" s="10"/>
      <c r="D135" s="10"/>
      <c r="E135" s="10"/>
      <c r="F135" s="10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</row>
    <row r="136" spans="1:30" x14ac:dyDescent="0.15">
      <c r="A136" s="14"/>
      <c r="B136" s="14"/>
      <c r="C136" s="14"/>
      <c r="D136" s="14"/>
      <c r="E136" s="14"/>
    </row>
    <row r="137" spans="1:30" ht="14.25" thickBot="1" x14ac:dyDescent="0.2">
      <c r="A137" s="14" t="s">
        <v>191</v>
      </c>
      <c r="B137" s="14"/>
      <c r="C137" s="14"/>
      <c r="D137" s="14"/>
      <c r="E137" s="14"/>
    </row>
    <row r="138" spans="1:30" x14ac:dyDescent="0.15">
      <c r="A138" s="168" t="s">
        <v>0</v>
      </c>
      <c r="B138" s="169"/>
      <c r="C138" s="169"/>
      <c r="D138" s="169"/>
      <c r="E138" s="169"/>
      <c r="F138" s="15"/>
      <c r="G138" s="174" t="s">
        <v>63</v>
      </c>
      <c r="H138" s="175"/>
      <c r="I138" s="175"/>
      <c r="J138" s="175"/>
      <c r="K138" s="176"/>
      <c r="L138" s="175" t="s">
        <v>64</v>
      </c>
      <c r="M138" s="175"/>
      <c r="N138" s="175"/>
      <c r="O138" s="175"/>
      <c r="P138" s="175"/>
      <c r="Q138" s="175"/>
      <c r="R138" s="175"/>
      <c r="S138" s="175"/>
      <c r="T138" s="175"/>
      <c r="U138" s="176"/>
      <c r="V138" s="175" t="s">
        <v>65</v>
      </c>
      <c r="W138" s="175"/>
      <c r="X138" s="175"/>
      <c r="Y138" s="175"/>
      <c r="Z138" s="175"/>
      <c r="AA138" s="175"/>
      <c r="AB138" s="175"/>
      <c r="AC138" s="175"/>
      <c r="AD138" s="177"/>
    </row>
    <row r="139" spans="1:30" s="57" customFormat="1" ht="13.5" customHeight="1" x14ac:dyDescent="0.15">
      <c r="A139" s="170"/>
      <c r="B139" s="171"/>
      <c r="C139" s="171"/>
      <c r="D139" s="171"/>
      <c r="E139" s="171"/>
      <c r="F139" s="16"/>
      <c r="G139" s="178" t="s">
        <v>129</v>
      </c>
      <c r="H139" s="181" t="s">
        <v>66</v>
      </c>
      <c r="I139" s="184" t="s">
        <v>130</v>
      </c>
      <c r="J139" s="187" t="s">
        <v>131</v>
      </c>
      <c r="K139" s="190" t="s">
        <v>68</v>
      </c>
      <c r="L139" s="198" t="s">
        <v>172</v>
      </c>
      <c r="M139" s="198"/>
      <c r="N139" s="198"/>
      <c r="O139" s="198"/>
      <c r="P139" s="198"/>
      <c r="Q139" s="198"/>
      <c r="R139" s="187" t="s">
        <v>130</v>
      </c>
      <c r="S139" s="178" t="s">
        <v>132</v>
      </c>
      <c r="T139" s="204" t="s">
        <v>133</v>
      </c>
      <c r="U139" s="190" t="s">
        <v>68</v>
      </c>
      <c r="V139" s="74" t="s">
        <v>181</v>
      </c>
      <c r="W139" s="74" t="s">
        <v>69</v>
      </c>
      <c r="X139" s="209" t="s">
        <v>70</v>
      </c>
      <c r="Y139" s="210"/>
      <c r="Z139" s="211"/>
      <c r="AA139" s="187" t="s">
        <v>130</v>
      </c>
      <c r="AB139" s="178" t="s">
        <v>132</v>
      </c>
      <c r="AC139" s="204" t="s">
        <v>133</v>
      </c>
      <c r="AD139" s="195" t="s">
        <v>68</v>
      </c>
    </row>
    <row r="140" spans="1:30" s="57" customFormat="1" ht="13.5" customHeight="1" x14ac:dyDescent="0.15">
      <c r="A140" s="170"/>
      <c r="B140" s="171"/>
      <c r="C140" s="171"/>
      <c r="D140" s="171"/>
      <c r="E140" s="171"/>
      <c r="F140" s="16"/>
      <c r="G140" s="179"/>
      <c r="H140" s="182"/>
      <c r="I140" s="185"/>
      <c r="J140" s="188"/>
      <c r="K140" s="191"/>
      <c r="L140" s="198" t="s">
        <v>71</v>
      </c>
      <c r="M140" s="199"/>
      <c r="N140" s="198" t="s">
        <v>2</v>
      </c>
      <c r="O140" s="198"/>
      <c r="P140" s="198"/>
      <c r="Q140" s="198"/>
      <c r="R140" s="188"/>
      <c r="S140" s="202"/>
      <c r="T140" s="205"/>
      <c r="U140" s="191"/>
      <c r="V140" s="200" t="s">
        <v>182</v>
      </c>
      <c r="W140" s="178" t="s">
        <v>183</v>
      </c>
      <c r="X140" s="178" t="s">
        <v>184</v>
      </c>
      <c r="Y140" s="207" t="s">
        <v>185</v>
      </c>
      <c r="Z140" s="193" t="s">
        <v>58</v>
      </c>
      <c r="AA140" s="188"/>
      <c r="AB140" s="202"/>
      <c r="AC140" s="205"/>
      <c r="AD140" s="196"/>
    </row>
    <row r="141" spans="1:30" s="57" customFormat="1" ht="27" x14ac:dyDescent="0.15">
      <c r="A141" s="172"/>
      <c r="B141" s="173"/>
      <c r="C141" s="173"/>
      <c r="D141" s="173"/>
      <c r="E141" s="173"/>
      <c r="F141" s="17"/>
      <c r="G141" s="180"/>
      <c r="H141" s="183"/>
      <c r="I141" s="186"/>
      <c r="J141" s="189"/>
      <c r="K141" s="192"/>
      <c r="L141" s="73" t="s">
        <v>186</v>
      </c>
      <c r="M141" s="18" t="s">
        <v>174</v>
      </c>
      <c r="N141" s="67" t="s">
        <v>175</v>
      </c>
      <c r="O141" s="58" t="s">
        <v>176</v>
      </c>
      <c r="P141" s="20" t="s">
        <v>187</v>
      </c>
      <c r="Q141" s="20" t="s">
        <v>180</v>
      </c>
      <c r="R141" s="189"/>
      <c r="S141" s="203"/>
      <c r="T141" s="206"/>
      <c r="U141" s="192"/>
      <c r="V141" s="201"/>
      <c r="W141" s="203"/>
      <c r="X141" s="203"/>
      <c r="Y141" s="208"/>
      <c r="Z141" s="194"/>
      <c r="AA141" s="189"/>
      <c r="AB141" s="203"/>
      <c r="AC141" s="206"/>
      <c r="AD141" s="197"/>
    </row>
    <row r="142" spans="1:30" x14ac:dyDescent="0.15">
      <c r="A142" s="48" t="s">
        <v>23</v>
      </c>
      <c r="B142" s="49"/>
      <c r="C142" s="49"/>
      <c r="D142" s="49"/>
      <c r="E142" s="49"/>
      <c r="F142" s="49"/>
      <c r="G142" s="97">
        <v>139463456</v>
      </c>
      <c r="H142" s="51"/>
      <c r="I142" s="97">
        <v>139463456</v>
      </c>
      <c r="J142" s="52"/>
      <c r="K142" s="116">
        <f t="shared" ref="K142:K159" si="24">I142+J142</f>
        <v>139463456</v>
      </c>
      <c r="L142" s="66">
        <v>22086131</v>
      </c>
      <c r="M142" s="90">
        <v>4682908</v>
      </c>
      <c r="N142" s="66">
        <v>1680755</v>
      </c>
      <c r="O142" s="88">
        <v>19710</v>
      </c>
      <c r="P142" s="89">
        <v>1295092</v>
      </c>
      <c r="Q142" s="89">
        <v>-164437</v>
      </c>
      <c r="R142" s="105">
        <f t="shared" ref="R142:R157" si="25">SUM(L142:Q142)</f>
        <v>29600159</v>
      </c>
      <c r="S142" s="50"/>
      <c r="T142" s="136">
        <v>-6017690</v>
      </c>
      <c r="U142" s="116">
        <f>K142+R142+T142</f>
        <v>163045925</v>
      </c>
      <c r="V142" s="66">
        <v>626181</v>
      </c>
      <c r="W142" s="66">
        <v>-1230246</v>
      </c>
      <c r="X142" s="97">
        <v>471186</v>
      </c>
      <c r="Y142" s="88">
        <v>228198</v>
      </c>
      <c r="Z142" s="90">
        <f t="shared" ref="Z142:Z157" si="26">SUM(X142:Y142)</f>
        <v>699384</v>
      </c>
      <c r="AA142" s="105">
        <f>V142+W142+Z142</f>
        <v>95319</v>
      </c>
      <c r="AB142" s="66"/>
      <c r="AC142" s="136">
        <v>-308000</v>
      </c>
      <c r="AD142" s="137">
        <f>U142+AA142+AB142+AC142</f>
        <v>162833244</v>
      </c>
    </row>
    <row r="143" spans="1:30" x14ac:dyDescent="0.15">
      <c r="A143" s="37"/>
      <c r="B143" s="22" t="s">
        <v>24</v>
      </c>
      <c r="C143" s="22"/>
      <c r="D143" s="22"/>
      <c r="E143" s="22"/>
      <c r="F143" s="22"/>
      <c r="G143" s="92">
        <f>G122</f>
        <v>-58203537</v>
      </c>
      <c r="H143" s="7"/>
      <c r="I143" s="92">
        <f>I122</f>
        <v>-58203537</v>
      </c>
      <c r="J143" s="12"/>
      <c r="K143" s="115">
        <f t="shared" si="24"/>
        <v>-58203537</v>
      </c>
      <c r="L143" s="61">
        <f>L122</f>
        <v>-573381</v>
      </c>
      <c r="M143" s="76">
        <f t="shared" ref="M143" si="27">M122</f>
        <v>-1186931</v>
      </c>
      <c r="N143" s="61">
        <f>N122</f>
        <v>-12051218</v>
      </c>
      <c r="O143" s="61">
        <f>O122</f>
        <v>-2645899</v>
      </c>
      <c r="P143" s="61">
        <f>P122</f>
        <v>-7698965</v>
      </c>
      <c r="Q143" s="61">
        <f>Q122</f>
        <v>43516</v>
      </c>
      <c r="R143" s="103">
        <f t="shared" si="25"/>
        <v>-24112878</v>
      </c>
      <c r="S143" s="6"/>
      <c r="T143" s="107"/>
      <c r="U143" s="115">
        <f t="shared" ref="U143:U157" si="28">K143+R143+T143</f>
        <v>-82316415</v>
      </c>
      <c r="V143" s="61">
        <v>-21731739</v>
      </c>
      <c r="W143" s="61">
        <v>28857</v>
      </c>
      <c r="X143" s="92">
        <v>11101</v>
      </c>
      <c r="Y143" s="70">
        <v>9769</v>
      </c>
      <c r="Z143" s="76">
        <f t="shared" si="26"/>
        <v>20870</v>
      </c>
      <c r="AA143" s="103">
        <f t="shared" ref="AA143:AA156" si="29">V143+W143+Z143</f>
        <v>-21682012</v>
      </c>
      <c r="AB143" s="61"/>
      <c r="AC143" s="119">
        <f>AC122</f>
        <v>13544</v>
      </c>
      <c r="AD143" s="126">
        <f>U143+AA143+AB143+AC143</f>
        <v>-103984883</v>
      </c>
    </row>
    <row r="144" spans="1:30" x14ac:dyDescent="0.15">
      <c r="A144" s="24"/>
      <c r="B144" s="3" t="s">
        <v>25</v>
      </c>
      <c r="C144" s="3"/>
      <c r="D144" s="3"/>
      <c r="E144" s="3"/>
      <c r="F144" s="3"/>
      <c r="G144" s="93">
        <f>G145+G146</f>
        <v>60095772</v>
      </c>
      <c r="H144" s="9"/>
      <c r="I144" s="93">
        <f>I145+I146</f>
        <v>60095772</v>
      </c>
      <c r="J144" s="13"/>
      <c r="K144" s="112">
        <f t="shared" si="24"/>
        <v>60095772</v>
      </c>
      <c r="L144" s="59">
        <f>L145+L146</f>
        <v>748961</v>
      </c>
      <c r="M144" s="77">
        <v>42808</v>
      </c>
      <c r="N144" s="59">
        <f>SUM(N145:N146)</f>
        <v>12086375</v>
      </c>
      <c r="O144" s="69">
        <f>O145</f>
        <v>2646395</v>
      </c>
      <c r="P144" s="81">
        <v>7985954</v>
      </c>
      <c r="Q144" s="81">
        <v>0</v>
      </c>
      <c r="R144" s="100">
        <f t="shared" si="25"/>
        <v>23510493</v>
      </c>
      <c r="S144" s="8"/>
      <c r="T144" s="107"/>
      <c r="U144" s="112">
        <f t="shared" si="28"/>
        <v>83606265</v>
      </c>
      <c r="V144" s="59">
        <v>22397175</v>
      </c>
      <c r="W144" s="59">
        <v>0</v>
      </c>
      <c r="X144" s="93">
        <v>0</v>
      </c>
      <c r="Y144" s="69">
        <v>0</v>
      </c>
      <c r="Z144" s="77">
        <f t="shared" si="26"/>
        <v>0</v>
      </c>
      <c r="AA144" s="100">
        <f t="shared" si="29"/>
        <v>22397175</v>
      </c>
      <c r="AB144" s="59"/>
      <c r="AC144" s="77">
        <v>-13544</v>
      </c>
      <c r="AD144" s="128">
        <f t="shared" ref="AD144:AD157" si="30">U144+AA144+AB144+AC144</f>
        <v>105989896</v>
      </c>
    </row>
    <row r="145" spans="1:30" x14ac:dyDescent="0.15">
      <c r="A145" s="24"/>
      <c r="B145" s="3"/>
      <c r="C145" s="3" t="s">
        <v>107</v>
      </c>
      <c r="D145" s="3"/>
      <c r="E145" s="3"/>
      <c r="F145" s="3"/>
      <c r="G145" s="93">
        <v>42919949</v>
      </c>
      <c r="H145" s="9"/>
      <c r="I145" s="93">
        <v>42919949</v>
      </c>
      <c r="J145" s="100"/>
      <c r="K145" s="112">
        <f t="shared" si="24"/>
        <v>42919949</v>
      </c>
      <c r="L145" s="59">
        <v>228469</v>
      </c>
      <c r="M145" s="77">
        <v>0</v>
      </c>
      <c r="N145" s="59">
        <v>5990958</v>
      </c>
      <c r="O145" s="69">
        <v>2646395</v>
      </c>
      <c r="P145" s="81">
        <v>3350064</v>
      </c>
      <c r="Q145" s="81">
        <v>0</v>
      </c>
      <c r="R145" s="100">
        <f t="shared" si="25"/>
        <v>12215886</v>
      </c>
      <c r="S145" s="8"/>
      <c r="T145" s="107"/>
      <c r="U145" s="112">
        <f t="shared" si="28"/>
        <v>55135835</v>
      </c>
      <c r="V145" s="59">
        <v>12264722</v>
      </c>
      <c r="W145" s="59">
        <v>0</v>
      </c>
      <c r="X145" s="93">
        <v>0</v>
      </c>
      <c r="Y145" s="69">
        <v>0</v>
      </c>
      <c r="Z145" s="77">
        <f t="shared" si="26"/>
        <v>0</v>
      </c>
      <c r="AA145" s="100">
        <f t="shared" si="29"/>
        <v>12264722</v>
      </c>
      <c r="AB145" s="127"/>
      <c r="AC145" s="77">
        <v>-13544</v>
      </c>
      <c r="AD145" s="128">
        <f>U145+AA145+AB145+AC145</f>
        <v>67387013</v>
      </c>
    </row>
    <row r="146" spans="1:30" x14ac:dyDescent="0.15">
      <c r="A146" s="24"/>
      <c r="B146" s="3"/>
      <c r="C146" s="3" t="s">
        <v>108</v>
      </c>
      <c r="D146" s="3"/>
      <c r="E146" s="3"/>
      <c r="F146" s="3"/>
      <c r="G146" s="93">
        <v>17175823</v>
      </c>
      <c r="H146" s="9"/>
      <c r="I146" s="93">
        <v>17175823</v>
      </c>
      <c r="J146" s="13"/>
      <c r="K146" s="112">
        <f t="shared" si="24"/>
        <v>17175823</v>
      </c>
      <c r="L146" s="59">
        <v>520492</v>
      </c>
      <c r="M146" s="77">
        <v>42808</v>
      </c>
      <c r="N146" s="59">
        <v>6095417</v>
      </c>
      <c r="O146" s="69">
        <v>0</v>
      </c>
      <c r="P146" s="81">
        <v>4635890</v>
      </c>
      <c r="Q146" s="81">
        <v>0</v>
      </c>
      <c r="R146" s="100">
        <f t="shared" si="25"/>
        <v>11294607</v>
      </c>
      <c r="S146" s="8"/>
      <c r="T146" s="25"/>
      <c r="U146" s="112">
        <f t="shared" si="28"/>
        <v>28470430</v>
      </c>
      <c r="V146" s="59">
        <v>10132453</v>
      </c>
      <c r="W146" s="59">
        <v>0</v>
      </c>
      <c r="X146" s="93">
        <v>0</v>
      </c>
      <c r="Y146" s="69">
        <v>0</v>
      </c>
      <c r="Z146" s="77">
        <f t="shared" si="26"/>
        <v>0</v>
      </c>
      <c r="AA146" s="100">
        <f t="shared" si="29"/>
        <v>10132453</v>
      </c>
      <c r="AB146" s="59"/>
      <c r="AC146" s="107"/>
      <c r="AD146" s="128">
        <f>U146+AA146+AB146+AC146</f>
        <v>38602883</v>
      </c>
    </row>
    <row r="147" spans="1:30" x14ac:dyDescent="0.15">
      <c r="A147" s="24"/>
      <c r="B147" s="3" t="s">
        <v>26</v>
      </c>
      <c r="C147" s="3"/>
      <c r="D147" s="3"/>
      <c r="E147" s="3"/>
      <c r="F147" s="3"/>
      <c r="G147" s="93">
        <f>G143+G144</f>
        <v>1892235</v>
      </c>
      <c r="H147" s="9"/>
      <c r="I147" s="93">
        <f>I143+I144</f>
        <v>1892235</v>
      </c>
      <c r="J147" s="13"/>
      <c r="K147" s="112">
        <f t="shared" si="24"/>
        <v>1892235</v>
      </c>
      <c r="L147" s="59">
        <f>L143+L144</f>
        <v>175580</v>
      </c>
      <c r="M147" s="77">
        <f t="shared" ref="M147" si="31">M143+M144</f>
        <v>-1144123</v>
      </c>
      <c r="N147" s="59">
        <v>35157</v>
      </c>
      <c r="O147" s="69">
        <f>O143+O144</f>
        <v>496</v>
      </c>
      <c r="P147" s="69">
        <f>P143+P144</f>
        <v>286989</v>
      </c>
      <c r="Q147" s="69">
        <f>Q143+Q144</f>
        <v>43516</v>
      </c>
      <c r="R147" s="100">
        <f t="shared" si="25"/>
        <v>-602385</v>
      </c>
      <c r="S147" s="8"/>
      <c r="T147" s="25"/>
      <c r="U147" s="112">
        <f>U143+U144</f>
        <v>1289850</v>
      </c>
      <c r="V147" s="59">
        <v>665436</v>
      </c>
      <c r="W147" s="59">
        <v>28857</v>
      </c>
      <c r="X147" s="93">
        <v>11101</v>
      </c>
      <c r="Y147" s="69">
        <v>9769</v>
      </c>
      <c r="Z147" s="77">
        <f t="shared" si="26"/>
        <v>20870</v>
      </c>
      <c r="AA147" s="100">
        <f t="shared" si="29"/>
        <v>715163</v>
      </c>
      <c r="AB147" s="59"/>
      <c r="AC147" s="77">
        <v>0</v>
      </c>
      <c r="AD147" s="128">
        <f>U147+AA147+AB147+AC147</f>
        <v>2005013</v>
      </c>
    </row>
    <row r="148" spans="1:30" x14ac:dyDescent="0.15">
      <c r="A148" s="24"/>
      <c r="B148" s="3" t="s">
        <v>109</v>
      </c>
      <c r="C148" s="3"/>
      <c r="D148" s="3"/>
      <c r="E148" s="3"/>
      <c r="F148" s="3"/>
      <c r="G148" s="93"/>
      <c r="H148" s="9"/>
      <c r="I148" s="93"/>
      <c r="J148" s="13"/>
      <c r="K148" s="112">
        <f t="shared" si="24"/>
        <v>0</v>
      </c>
      <c r="L148" s="59"/>
      <c r="M148" s="77"/>
      <c r="N148" s="59"/>
      <c r="O148" s="69"/>
      <c r="P148" s="81"/>
      <c r="Q148" s="81"/>
      <c r="R148" s="100">
        <f t="shared" si="25"/>
        <v>0</v>
      </c>
      <c r="S148" s="8"/>
      <c r="T148" s="107"/>
      <c r="U148" s="112">
        <f t="shared" si="28"/>
        <v>0</v>
      </c>
      <c r="V148" s="59">
        <v>-186609</v>
      </c>
      <c r="W148" s="59">
        <v>0</v>
      </c>
      <c r="X148" s="93">
        <v>0</v>
      </c>
      <c r="Y148" s="69">
        <v>0</v>
      </c>
      <c r="Z148" s="77">
        <f t="shared" si="26"/>
        <v>0</v>
      </c>
      <c r="AA148" s="100">
        <f t="shared" si="29"/>
        <v>-186609</v>
      </c>
      <c r="AB148" s="59"/>
      <c r="AC148" s="107"/>
      <c r="AD148" s="128">
        <f t="shared" si="30"/>
        <v>-186609</v>
      </c>
    </row>
    <row r="149" spans="1:30" x14ac:dyDescent="0.15">
      <c r="A149" s="24"/>
      <c r="B149" s="3"/>
      <c r="C149" s="3" t="s">
        <v>110</v>
      </c>
      <c r="D149" s="3"/>
      <c r="E149" s="3"/>
      <c r="F149" s="3"/>
      <c r="G149" s="93"/>
      <c r="H149" s="9"/>
      <c r="I149" s="93"/>
      <c r="J149" s="13"/>
      <c r="K149" s="112">
        <f t="shared" si="24"/>
        <v>0</v>
      </c>
      <c r="L149" s="59"/>
      <c r="M149" s="77"/>
      <c r="N149" s="59"/>
      <c r="O149" s="69"/>
      <c r="P149" s="81"/>
      <c r="Q149" s="81">
        <v>10032</v>
      </c>
      <c r="R149" s="100">
        <f t="shared" si="25"/>
        <v>10032</v>
      </c>
      <c r="S149" s="8"/>
      <c r="T149" s="25"/>
      <c r="U149" s="112">
        <f t="shared" si="28"/>
        <v>10032</v>
      </c>
      <c r="V149" s="59">
        <v>0</v>
      </c>
      <c r="W149" s="59">
        <v>0</v>
      </c>
      <c r="X149" s="93">
        <v>0</v>
      </c>
      <c r="Y149" s="69">
        <v>0</v>
      </c>
      <c r="Z149" s="77">
        <f t="shared" si="26"/>
        <v>0</v>
      </c>
      <c r="AA149" s="100">
        <f t="shared" si="29"/>
        <v>0</v>
      </c>
      <c r="AB149" s="59"/>
      <c r="AC149" s="107"/>
      <c r="AD149" s="128">
        <f t="shared" si="30"/>
        <v>10032</v>
      </c>
    </row>
    <row r="150" spans="1:30" x14ac:dyDescent="0.15">
      <c r="A150" s="24"/>
      <c r="B150" s="3"/>
      <c r="C150" s="3" t="s">
        <v>111</v>
      </c>
      <c r="D150" s="3"/>
      <c r="E150" s="3"/>
      <c r="F150" s="3"/>
      <c r="G150" s="93"/>
      <c r="H150" s="9"/>
      <c r="I150" s="93"/>
      <c r="J150" s="13"/>
      <c r="K150" s="112">
        <f t="shared" si="24"/>
        <v>0</v>
      </c>
      <c r="L150" s="59"/>
      <c r="M150" s="77"/>
      <c r="N150" s="59"/>
      <c r="O150" s="69"/>
      <c r="P150" s="81"/>
      <c r="Q150" s="81"/>
      <c r="R150" s="100">
        <f t="shared" si="25"/>
        <v>0</v>
      </c>
      <c r="S150" s="8"/>
      <c r="T150" s="25"/>
      <c r="U150" s="112">
        <f t="shared" si="28"/>
        <v>0</v>
      </c>
      <c r="V150" s="59">
        <v>0</v>
      </c>
      <c r="W150" s="59">
        <v>0</v>
      </c>
      <c r="X150" s="93">
        <v>0</v>
      </c>
      <c r="Y150" s="69">
        <v>0</v>
      </c>
      <c r="Z150" s="77">
        <f t="shared" si="26"/>
        <v>0</v>
      </c>
      <c r="AA150" s="100">
        <f t="shared" si="29"/>
        <v>0</v>
      </c>
      <c r="AB150" s="59"/>
      <c r="AC150" s="107"/>
      <c r="AD150" s="128">
        <f t="shared" si="30"/>
        <v>0</v>
      </c>
    </row>
    <row r="151" spans="1:30" x14ac:dyDescent="0.15">
      <c r="A151" s="24"/>
      <c r="B151" s="3"/>
      <c r="C151" s="3" t="s">
        <v>112</v>
      </c>
      <c r="D151" s="3"/>
      <c r="E151" s="3"/>
      <c r="F151" s="3"/>
      <c r="G151" s="93"/>
      <c r="H151" s="9"/>
      <c r="I151" s="93"/>
      <c r="J151" s="13"/>
      <c r="K151" s="112">
        <f t="shared" si="24"/>
        <v>0</v>
      </c>
      <c r="L151" s="59"/>
      <c r="M151" s="77"/>
      <c r="N151" s="59"/>
      <c r="O151" s="69"/>
      <c r="P151" s="81"/>
      <c r="Q151" s="81"/>
      <c r="R151" s="100">
        <f t="shared" si="25"/>
        <v>0</v>
      </c>
      <c r="S151" s="8"/>
      <c r="T151" s="25"/>
      <c r="U151" s="112">
        <f t="shared" si="28"/>
        <v>0</v>
      </c>
      <c r="V151" s="59">
        <v>20788</v>
      </c>
      <c r="W151" s="59">
        <v>0</v>
      </c>
      <c r="X151" s="93">
        <v>0</v>
      </c>
      <c r="Y151" s="69">
        <v>0</v>
      </c>
      <c r="Z151" s="77">
        <f t="shared" si="26"/>
        <v>0</v>
      </c>
      <c r="AA151" s="100">
        <f t="shared" si="29"/>
        <v>20788</v>
      </c>
      <c r="AB151" s="59"/>
      <c r="AC151" s="107"/>
      <c r="AD151" s="128">
        <f t="shared" si="30"/>
        <v>20788</v>
      </c>
    </row>
    <row r="152" spans="1:30" x14ac:dyDescent="0.15">
      <c r="A152" s="24"/>
      <c r="B152" s="3"/>
      <c r="C152" s="3" t="s">
        <v>113</v>
      </c>
      <c r="D152" s="3"/>
      <c r="E152" s="3"/>
      <c r="F152" s="3"/>
      <c r="G152" s="93"/>
      <c r="H152" s="9"/>
      <c r="I152" s="93"/>
      <c r="J152" s="13"/>
      <c r="K152" s="112">
        <f t="shared" si="24"/>
        <v>0</v>
      </c>
      <c r="L152" s="59"/>
      <c r="M152" s="77"/>
      <c r="N152" s="59"/>
      <c r="O152" s="69"/>
      <c r="P152" s="81"/>
      <c r="Q152" s="81"/>
      <c r="R152" s="100">
        <f t="shared" si="25"/>
        <v>0</v>
      </c>
      <c r="S152" s="8"/>
      <c r="T152" s="25"/>
      <c r="U152" s="112">
        <f t="shared" si="28"/>
        <v>0</v>
      </c>
      <c r="V152" s="59">
        <v>-207397</v>
      </c>
      <c r="W152" s="59">
        <v>0</v>
      </c>
      <c r="X152" s="93">
        <v>0</v>
      </c>
      <c r="Y152" s="69">
        <v>0</v>
      </c>
      <c r="Z152" s="77">
        <f t="shared" si="26"/>
        <v>0</v>
      </c>
      <c r="AA152" s="100">
        <f t="shared" si="29"/>
        <v>-207397</v>
      </c>
      <c r="AB152" s="59"/>
      <c r="AC152" s="107"/>
      <c r="AD152" s="128">
        <f t="shared" si="30"/>
        <v>-207397</v>
      </c>
    </row>
    <row r="153" spans="1:30" x14ac:dyDescent="0.15">
      <c r="A153" s="24"/>
      <c r="B153" s="3" t="s">
        <v>27</v>
      </c>
      <c r="C153" s="3"/>
      <c r="D153" s="3"/>
      <c r="E153" s="3"/>
      <c r="F153" s="3"/>
      <c r="G153" s="93">
        <v>78100</v>
      </c>
      <c r="H153" s="9"/>
      <c r="I153" s="93">
        <v>78100</v>
      </c>
      <c r="J153" s="13"/>
      <c r="K153" s="112">
        <f t="shared" si="24"/>
        <v>78100</v>
      </c>
      <c r="L153" s="59">
        <v>-301323</v>
      </c>
      <c r="M153" s="77">
        <v>0</v>
      </c>
      <c r="N153" s="59"/>
      <c r="O153" s="69"/>
      <c r="P153" s="81"/>
      <c r="Q153" s="81"/>
      <c r="R153" s="100">
        <f t="shared" si="25"/>
        <v>-301323</v>
      </c>
      <c r="S153" s="8"/>
      <c r="T153" s="25"/>
      <c r="U153" s="112">
        <f t="shared" si="28"/>
        <v>-223223</v>
      </c>
      <c r="V153" s="59">
        <v>0</v>
      </c>
      <c r="W153" s="59">
        <v>-8474</v>
      </c>
      <c r="X153" s="93">
        <v>0</v>
      </c>
      <c r="Y153" s="69">
        <v>0</v>
      </c>
      <c r="Z153" s="77">
        <f t="shared" si="26"/>
        <v>0</v>
      </c>
      <c r="AA153" s="100">
        <f t="shared" si="29"/>
        <v>-8474</v>
      </c>
      <c r="AB153" s="59"/>
      <c r="AC153" s="107"/>
      <c r="AD153" s="128">
        <f t="shared" si="30"/>
        <v>-231697</v>
      </c>
    </row>
    <row r="154" spans="1:30" x14ac:dyDescent="0.15">
      <c r="A154" s="24"/>
      <c r="B154" s="3" t="s">
        <v>114</v>
      </c>
      <c r="C154" s="3"/>
      <c r="D154" s="3"/>
      <c r="E154" s="3"/>
      <c r="F154" s="3"/>
      <c r="G154" s="93">
        <v>130222</v>
      </c>
      <c r="H154" s="9"/>
      <c r="I154" s="93">
        <v>130222</v>
      </c>
      <c r="J154" s="13"/>
      <c r="K154" s="112">
        <f t="shared" si="24"/>
        <v>130222</v>
      </c>
      <c r="L154" s="59">
        <v>0</v>
      </c>
      <c r="M154" s="77">
        <v>0</v>
      </c>
      <c r="N154" s="59"/>
      <c r="O154" s="69"/>
      <c r="P154" s="81"/>
      <c r="Q154" s="81"/>
      <c r="R154" s="100">
        <f t="shared" si="25"/>
        <v>0</v>
      </c>
      <c r="S154" s="8"/>
      <c r="T154" s="25"/>
      <c r="U154" s="112">
        <f t="shared" si="28"/>
        <v>130222</v>
      </c>
      <c r="V154" s="59">
        <v>0</v>
      </c>
      <c r="W154" s="59">
        <v>0</v>
      </c>
      <c r="X154" s="93">
        <v>0</v>
      </c>
      <c r="Y154" s="69">
        <v>0</v>
      </c>
      <c r="Z154" s="77">
        <f t="shared" si="26"/>
        <v>0</v>
      </c>
      <c r="AA154" s="100">
        <f t="shared" si="29"/>
        <v>0</v>
      </c>
      <c r="AB154" s="59"/>
      <c r="AC154" s="107"/>
      <c r="AD154" s="128">
        <f t="shared" si="30"/>
        <v>130222</v>
      </c>
    </row>
    <row r="155" spans="1:30" x14ac:dyDescent="0.15">
      <c r="A155" s="24"/>
      <c r="B155" s="3" t="s">
        <v>169</v>
      </c>
      <c r="C155" s="3"/>
      <c r="D155" s="3"/>
      <c r="E155" s="3"/>
      <c r="F155" s="3"/>
      <c r="G155" s="93">
        <v>0</v>
      </c>
      <c r="H155" s="9"/>
      <c r="I155" s="93">
        <v>0</v>
      </c>
      <c r="J155" s="13"/>
      <c r="K155" s="112">
        <f t="shared" si="24"/>
        <v>0</v>
      </c>
      <c r="L155" s="59">
        <v>0</v>
      </c>
      <c r="M155" s="77">
        <v>0</v>
      </c>
      <c r="N155" s="59"/>
      <c r="O155" s="69"/>
      <c r="P155" s="81"/>
      <c r="Q155" s="81"/>
      <c r="R155" s="100">
        <f t="shared" si="25"/>
        <v>0</v>
      </c>
      <c r="S155" s="8"/>
      <c r="T155" s="25"/>
      <c r="U155" s="112">
        <f t="shared" si="28"/>
        <v>0</v>
      </c>
      <c r="V155" s="59">
        <v>0</v>
      </c>
      <c r="W155" s="59">
        <v>0</v>
      </c>
      <c r="X155" s="93">
        <v>0</v>
      </c>
      <c r="Y155" s="69">
        <v>0</v>
      </c>
      <c r="Z155" s="77">
        <f t="shared" si="26"/>
        <v>0</v>
      </c>
      <c r="AA155" s="100">
        <f t="shared" si="29"/>
        <v>0</v>
      </c>
      <c r="AB155" s="59"/>
      <c r="AC155" s="107"/>
      <c r="AD155" s="128">
        <f t="shared" si="30"/>
        <v>0</v>
      </c>
    </row>
    <row r="156" spans="1:30" x14ac:dyDescent="0.15">
      <c r="A156" s="24"/>
      <c r="B156" s="3" t="s">
        <v>170</v>
      </c>
      <c r="C156" s="3"/>
      <c r="D156" s="3"/>
      <c r="E156" s="3"/>
      <c r="F156" s="3"/>
      <c r="G156" s="93">
        <v>0</v>
      </c>
      <c r="H156" s="9"/>
      <c r="I156" s="93">
        <v>0</v>
      </c>
      <c r="J156" s="13"/>
      <c r="K156" s="112">
        <f t="shared" si="24"/>
        <v>0</v>
      </c>
      <c r="L156" s="59">
        <v>0</v>
      </c>
      <c r="M156" s="77">
        <v>0</v>
      </c>
      <c r="N156" s="59"/>
      <c r="O156" s="69"/>
      <c r="P156" s="81"/>
      <c r="Q156" s="81"/>
      <c r="R156" s="100">
        <f t="shared" si="25"/>
        <v>0</v>
      </c>
      <c r="S156" s="8"/>
      <c r="T156" s="107"/>
      <c r="U156" s="112">
        <f t="shared" si="28"/>
        <v>0</v>
      </c>
      <c r="V156" s="59">
        <v>0</v>
      </c>
      <c r="W156" s="59">
        <v>0</v>
      </c>
      <c r="X156" s="93">
        <v>0</v>
      </c>
      <c r="Y156" s="69">
        <v>0</v>
      </c>
      <c r="Z156" s="77">
        <f t="shared" si="26"/>
        <v>0</v>
      </c>
      <c r="AA156" s="100">
        <f t="shared" si="29"/>
        <v>0</v>
      </c>
      <c r="AB156" s="59"/>
      <c r="AC156" s="107"/>
      <c r="AD156" s="128">
        <f t="shared" si="30"/>
        <v>0</v>
      </c>
    </row>
    <row r="157" spans="1:30" x14ac:dyDescent="0.15">
      <c r="A157" s="24"/>
      <c r="B157" s="3" t="s">
        <v>2</v>
      </c>
      <c r="C157" s="3"/>
      <c r="D157" s="3"/>
      <c r="E157" s="3"/>
      <c r="F157" s="3"/>
      <c r="G157" s="93">
        <f>70536+1038</f>
        <v>71574</v>
      </c>
      <c r="H157" s="9"/>
      <c r="I157" s="93">
        <f>70536+1038</f>
        <v>71574</v>
      </c>
      <c r="J157" s="13"/>
      <c r="K157" s="112">
        <f t="shared" si="24"/>
        <v>71574</v>
      </c>
      <c r="L157" s="59">
        <v>538027</v>
      </c>
      <c r="M157" s="77">
        <v>7613</v>
      </c>
      <c r="N157" s="59">
        <v>-1</v>
      </c>
      <c r="O157" s="69">
        <v>1</v>
      </c>
      <c r="P157" s="81">
        <v>-2</v>
      </c>
      <c r="Q157" s="81">
        <v>0</v>
      </c>
      <c r="R157" s="100">
        <f t="shared" si="25"/>
        <v>545638</v>
      </c>
      <c r="S157" s="8"/>
      <c r="T157" s="25"/>
      <c r="U157" s="112">
        <f t="shared" si="28"/>
        <v>617212</v>
      </c>
      <c r="V157" s="59">
        <v>1460</v>
      </c>
      <c r="W157" s="59">
        <v>0</v>
      </c>
      <c r="X157" s="93">
        <v>-3861</v>
      </c>
      <c r="Y157" s="69">
        <v>-2600</v>
      </c>
      <c r="Z157" s="77">
        <f t="shared" si="26"/>
        <v>-6461</v>
      </c>
      <c r="AA157" s="100">
        <f>V157+W157+Z157</f>
        <v>-5001</v>
      </c>
      <c r="AB157" s="59"/>
      <c r="AC157" s="107"/>
      <c r="AD157" s="128">
        <f t="shared" si="30"/>
        <v>612211</v>
      </c>
    </row>
    <row r="158" spans="1:30" x14ac:dyDescent="0.15">
      <c r="A158" s="31"/>
      <c r="B158" s="2" t="s">
        <v>115</v>
      </c>
      <c r="C158" s="2"/>
      <c r="D158" s="2"/>
      <c r="E158" s="2"/>
      <c r="F158" s="2"/>
      <c r="G158" s="95">
        <f>G143+G144+G151+G152+G157+G153+G154</f>
        <v>2172131</v>
      </c>
      <c r="H158" s="33"/>
      <c r="I158" s="95">
        <f>I143+I144+I151+I152+I157+I153+I154</f>
        <v>2172131</v>
      </c>
      <c r="J158" s="34"/>
      <c r="K158" s="114">
        <f t="shared" si="24"/>
        <v>2172131</v>
      </c>
      <c r="L158" s="63">
        <f>L143+L144+L151+L152+L157+L153</f>
        <v>412284</v>
      </c>
      <c r="M158" s="79">
        <f t="shared" ref="M158" si="32">M143+M144+M151+M152+M157</f>
        <v>-1136510</v>
      </c>
      <c r="N158" s="63">
        <f>N143+N144+N151+N152+N157</f>
        <v>35156</v>
      </c>
      <c r="O158" s="63">
        <f>O143+O144+O151+O152+O157</f>
        <v>497</v>
      </c>
      <c r="P158" s="63">
        <f>P143+P144+P151+P152+P157</f>
        <v>286987</v>
      </c>
      <c r="Q158" s="63">
        <f>Q143+Q144+Q151+Q152+Q157</f>
        <v>43516</v>
      </c>
      <c r="R158" s="102">
        <f>SUM(L158:Q158)</f>
        <v>-358070</v>
      </c>
      <c r="S158" s="32"/>
      <c r="T158" s="109"/>
      <c r="U158" s="114">
        <f>K158+R158+T158</f>
        <v>1814061</v>
      </c>
      <c r="V158" s="63">
        <f>665436+1460</f>
        <v>666896</v>
      </c>
      <c r="W158" s="63">
        <v>20383</v>
      </c>
      <c r="X158" s="95">
        <f>X147+X157</f>
        <v>7240</v>
      </c>
      <c r="Y158" s="95">
        <f>Y147+Y157</f>
        <v>7169</v>
      </c>
      <c r="Z158" s="79">
        <f>Z147+Z157</f>
        <v>14409</v>
      </c>
      <c r="AA158" s="102">
        <f>V158+W158+Z158</f>
        <v>701688</v>
      </c>
      <c r="AB158" s="63"/>
      <c r="AC158" s="109">
        <v>0</v>
      </c>
      <c r="AD158" s="133">
        <f>U158+AA158+AB158+AC158</f>
        <v>2515749</v>
      </c>
    </row>
    <row r="159" spans="1:30" ht="14.25" thickBot="1" x14ac:dyDescent="0.2">
      <c r="A159" s="5" t="s">
        <v>116</v>
      </c>
      <c r="B159" s="44"/>
      <c r="C159" s="44"/>
      <c r="D159" s="44"/>
      <c r="E159" s="44"/>
      <c r="F159" s="44"/>
      <c r="G159" s="98">
        <f>G142+G158</f>
        <v>141635587</v>
      </c>
      <c r="H159" s="46"/>
      <c r="I159" s="98">
        <f>I142+I158</f>
        <v>141635587</v>
      </c>
      <c r="J159" s="47"/>
      <c r="K159" s="117">
        <f t="shared" si="24"/>
        <v>141635587</v>
      </c>
      <c r="L159" s="65">
        <f>L142+L158</f>
        <v>22498415</v>
      </c>
      <c r="M159" s="91">
        <f t="shared" ref="M159" si="33">M142+M158</f>
        <v>3546398</v>
      </c>
      <c r="N159" s="65">
        <f>N142+N158</f>
        <v>1715911</v>
      </c>
      <c r="O159" s="72">
        <f>O142+O158</f>
        <v>20207</v>
      </c>
      <c r="P159" s="72">
        <f>P142+P158</f>
        <v>1582079</v>
      </c>
      <c r="Q159" s="72">
        <f>Q142+Q158</f>
        <v>-120921</v>
      </c>
      <c r="R159" s="106">
        <f>SUM(L159:Q159)</f>
        <v>29242089</v>
      </c>
      <c r="S159" s="45"/>
      <c r="T159" s="123"/>
      <c r="U159" s="117">
        <f t="shared" ref="U159:Z159" si="34">U142+U158</f>
        <v>164859986</v>
      </c>
      <c r="V159" s="65">
        <f t="shared" si="34"/>
        <v>1293077</v>
      </c>
      <c r="W159" s="65">
        <f t="shared" si="34"/>
        <v>-1209863</v>
      </c>
      <c r="X159" s="98">
        <f t="shared" si="34"/>
        <v>478426</v>
      </c>
      <c r="Y159" s="72">
        <f t="shared" si="34"/>
        <v>235367</v>
      </c>
      <c r="Z159" s="91">
        <f t="shared" si="34"/>
        <v>713793</v>
      </c>
      <c r="AA159" s="106">
        <f>V159+W159+Z159</f>
        <v>797007</v>
      </c>
      <c r="AB159" s="65"/>
      <c r="AC159" s="138">
        <f>AC142+AC158</f>
        <v>-308000</v>
      </c>
      <c r="AD159" s="139">
        <f>U159+AA159+AB159+AC159</f>
        <v>165348993</v>
      </c>
    </row>
    <row r="160" spans="1:30" x14ac:dyDescent="0.15">
      <c r="A160" s="14"/>
      <c r="B160" s="14"/>
      <c r="C160" s="14"/>
      <c r="D160" s="14"/>
      <c r="E160" s="14"/>
      <c r="W160" s="56" t="s">
        <v>193</v>
      </c>
    </row>
    <row r="161" spans="1:30" ht="14.25" thickBot="1" x14ac:dyDescent="0.2">
      <c r="A161" s="14" t="s">
        <v>192</v>
      </c>
      <c r="B161" s="14"/>
      <c r="C161" s="14"/>
      <c r="D161" s="14"/>
      <c r="E161" s="14"/>
    </row>
    <row r="162" spans="1:30" x14ac:dyDescent="0.15">
      <c r="A162" s="168" t="s">
        <v>0</v>
      </c>
      <c r="B162" s="169"/>
      <c r="C162" s="169"/>
      <c r="D162" s="169"/>
      <c r="E162" s="169"/>
      <c r="F162" s="15"/>
      <c r="G162" s="174" t="s">
        <v>63</v>
      </c>
      <c r="H162" s="175"/>
      <c r="I162" s="175"/>
      <c r="J162" s="175"/>
      <c r="K162" s="176"/>
      <c r="L162" s="175" t="s">
        <v>64</v>
      </c>
      <c r="M162" s="175"/>
      <c r="N162" s="175"/>
      <c r="O162" s="175"/>
      <c r="P162" s="175"/>
      <c r="Q162" s="175"/>
      <c r="R162" s="175"/>
      <c r="S162" s="175"/>
      <c r="T162" s="175"/>
      <c r="U162" s="176"/>
      <c r="V162" s="175" t="s">
        <v>65</v>
      </c>
      <c r="W162" s="175"/>
      <c r="X162" s="175"/>
      <c r="Y162" s="175"/>
      <c r="Z162" s="175"/>
      <c r="AA162" s="175"/>
      <c r="AB162" s="175"/>
      <c r="AC162" s="175"/>
      <c r="AD162" s="177"/>
    </row>
    <row r="163" spans="1:30" s="57" customFormat="1" ht="13.5" customHeight="1" x14ac:dyDescent="0.15">
      <c r="A163" s="170"/>
      <c r="B163" s="171"/>
      <c r="C163" s="171"/>
      <c r="D163" s="171"/>
      <c r="E163" s="171"/>
      <c r="F163" s="16"/>
      <c r="G163" s="178" t="s">
        <v>129</v>
      </c>
      <c r="H163" s="181" t="s">
        <v>66</v>
      </c>
      <c r="I163" s="184" t="s">
        <v>130</v>
      </c>
      <c r="J163" s="187" t="s">
        <v>131</v>
      </c>
      <c r="K163" s="190" t="s">
        <v>68</v>
      </c>
      <c r="L163" s="198" t="s">
        <v>172</v>
      </c>
      <c r="M163" s="198"/>
      <c r="N163" s="198"/>
      <c r="O163" s="198"/>
      <c r="P163" s="198"/>
      <c r="Q163" s="198"/>
      <c r="R163" s="187" t="s">
        <v>130</v>
      </c>
      <c r="S163" s="178" t="s">
        <v>132</v>
      </c>
      <c r="T163" s="204" t="s">
        <v>133</v>
      </c>
      <c r="U163" s="190" t="s">
        <v>68</v>
      </c>
      <c r="V163" s="74" t="s">
        <v>181</v>
      </c>
      <c r="W163" s="74" t="s">
        <v>69</v>
      </c>
      <c r="X163" s="209" t="s">
        <v>70</v>
      </c>
      <c r="Y163" s="210"/>
      <c r="Z163" s="211"/>
      <c r="AA163" s="187" t="s">
        <v>130</v>
      </c>
      <c r="AB163" s="178" t="s">
        <v>132</v>
      </c>
      <c r="AC163" s="204" t="s">
        <v>133</v>
      </c>
      <c r="AD163" s="195" t="s">
        <v>68</v>
      </c>
    </row>
    <row r="164" spans="1:30" s="57" customFormat="1" ht="13.5" customHeight="1" x14ac:dyDescent="0.15">
      <c r="A164" s="170"/>
      <c r="B164" s="171"/>
      <c r="C164" s="171"/>
      <c r="D164" s="171"/>
      <c r="E164" s="171"/>
      <c r="F164" s="16"/>
      <c r="G164" s="179"/>
      <c r="H164" s="182"/>
      <c r="I164" s="185"/>
      <c r="J164" s="188"/>
      <c r="K164" s="191"/>
      <c r="L164" s="198" t="s">
        <v>71</v>
      </c>
      <c r="M164" s="199"/>
      <c r="N164" s="198" t="s">
        <v>2</v>
      </c>
      <c r="O164" s="198"/>
      <c r="P164" s="198"/>
      <c r="Q164" s="198"/>
      <c r="R164" s="188"/>
      <c r="S164" s="202"/>
      <c r="T164" s="205"/>
      <c r="U164" s="191"/>
      <c r="V164" s="200" t="s">
        <v>182</v>
      </c>
      <c r="W164" s="178" t="s">
        <v>183</v>
      </c>
      <c r="X164" s="178" t="s">
        <v>184</v>
      </c>
      <c r="Y164" s="207" t="s">
        <v>185</v>
      </c>
      <c r="Z164" s="193" t="s">
        <v>58</v>
      </c>
      <c r="AA164" s="188"/>
      <c r="AB164" s="202"/>
      <c r="AC164" s="205"/>
      <c r="AD164" s="196"/>
    </row>
    <row r="165" spans="1:30" s="57" customFormat="1" ht="27" x14ac:dyDescent="0.15">
      <c r="A165" s="172"/>
      <c r="B165" s="173"/>
      <c r="C165" s="173"/>
      <c r="D165" s="173"/>
      <c r="E165" s="173"/>
      <c r="F165" s="17"/>
      <c r="G165" s="180"/>
      <c r="H165" s="183"/>
      <c r="I165" s="186"/>
      <c r="J165" s="189"/>
      <c r="K165" s="192"/>
      <c r="L165" s="73" t="s">
        <v>186</v>
      </c>
      <c r="M165" s="18" t="s">
        <v>174</v>
      </c>
      <c r="N165" s="67" t="s">
        <v>175</v>
      </c>
      <c r="O165" s="58" t="s">
        <v>176</v>
      </c>
      <c r="P165" s="20" t="s">
        <v>187</v>
      </c>
      <c r="Q165" s="20" t="s">
        <v>180</v>
      </c>
      <c r="R165" s="189"/>
      <c r="S165" s="203"/>
      <c r="T165" s="206"/>
      <c r="U165" s="192"/>
      <c r="V165" s="201"/>
      <c r="W165" s="203"/>
      <c r="X165" s="203"/>
      <c r="Y165" s="208"/>
      <c r="Z165" s="194"/>
      <c r="AA165" s="189"/>
      <c r="AB165" s="203"/>
      <c r="AC165" s="206"/>
      <c r="AD165" s="197"/>
    </row>
    <row r="166" spans="1:30" x14ac:dyDescent="0.15">
      <c r="A166" s="37" t="s">
        <v>41</v>
      </c>
      <c r="B166" s="22"/>
      <c r="C166" s="22"/>
      <c r="D166" s="22"/>
      <c r="E166" s="22"/>
      <c r="F166" s="22"/>
      <c r="G166" s="92">
        <v>2762448</v>
      </c>
      <c r="H166" s="7"/>
      <c r="I166" s="92">
        <v>2762448</v>
      </c>
      <c r="J166" s="103"/>
      <c r="K166" s="112">
        <f>I166+J166</f>
        <v>2762448</v>
      </c>
      <c r="L166" s="61">
        <f t="shared" ref="L166:M166" si="35">L178-L167</f>
        <v>1860742</v>
      </c>
      <c r="M166" s="76">
        <f t="shared" si="35"/>
        <v>-574273</v>
      </c>
      <c r="N166" s="61">
        <f>N178-N167</f>
        <v>117556.91899999976</v>
      </c>
      <c r="O166" s="70">
        <f>O178-O167</f>
        <v>528</v>
      </c>
      <c r="P166" s="85">
        <f t="shared" ref="P166:Q166" si="36">P178-P167</f>
        <v>400496</v>
      </c>
      <c r="Q166" s="85">
        <f t="shared" si="36"/>
        <v>0</v>
      </c>
      <c r="R166" s="103">
        <f t="shared" ref="R166:R209" si="37">SUM(L166:Q166)</f>
        <v>1805049.9189999998</v>
      </c>
      <c r="S166" s="6"/>
      <c r="T166" s="121">
        <f>T178-T167</f>
        <v>420969</v>
      </c>
      <c r="U166" s="115">
        <f t="shared" ref="U166:U211" si="38">K166+R166+T166</f>
        <v>4988466.9189999998</v>
      </c>
      <c r="V166" s="61">
        <v>665865</v>
      </c>
      <c r="W166" s="61">
        <v>29860</v>
      </c>
      <c r="X166" s="92">
        <v>30507</v>
      </c>
      <c r="Y166" s="70">
        <v>25868</v>
      </c>
      <c r="Z166" s="76">
        <f t="shared" ref="Z166:Z209" si="39">SUM(X166:Y166)</f>
        <v>56375</v>
      </c>
      <c r="AA166" s="103">
        <f>V166+W166+Z166</f>
        <v>752100</v>
      </c>
      <c r="AB166" s="92"/>
      <c r="AC166" s="119"/>
      <c r="AD166" s="126">
        <f>U166+AA166+AB166+AC166</f>
        <v>5740566.9189999998</v>
      </c>
    </row>
    <row r="167" spans="1:30" x14ac:dyDescent="0.15">
      <c r="A167" s="24"/>
      <c r="B167" s="3" t="s">
        <v>31</v>
      </c>
      <c r="C167" s="3"/>
      <c r="D167" s="3"/>
      <c r="E167" s="3"/>
      <c r="F167" s="3"/>
      <c r="G167" s="93">
        <v>57682573</v>
      </c>
      <c r="H167" s="9"/>
      <c r="I167" s="93">
        <v>57682573</v>
      </c>
      <c r="J167" s="100"/>
      <c r="K167" s="112">
        <f t="shared" ref="K167:K213" si="40">I167+J167</f>
        <v>57682573</v>
      </c>
      <c r="L167" s="59">
        <f t="shared" ref="L167:M167" si="41">L168+L173</f>
        <v>2591646</v>
      </c>
      <c r="M167" s="77">
        <f t="shared" si="41"/>
        <v>10455311</v>
      </c>
      <c r="N167" s="59">
        <f>N168+N173</f>
        <v>26208484.081</v>
      </c>
      <c r="O167" s="69">
        <f>O168+O173</f>
        <v>3278014</v>
      </c>
      <c r="P167" s="81">
        <f t="shared" ref="P167:Q167" si="42">P168+P173</f>
        <v>13292350</v>
      </c>
      <c r="Q167" s="81">
        <f t="shared" si="42"/>
        <v>27181</v>
      </c>
      <c r="R167" s="100">
        <f t="shared" si="37"/>
        <v>55852986.081</v>
      </c>
      <c r="S167" s="154"/>
      <c r="T167" s="77">
        <f>-9244245-32833</f>
        <v>-9277078</v>
      </c>
      <c r="U167" s="112">
        <f t="shared" si="38"/>
        <v>104258481.081</v>
      </c>
      <c r="V167" s="59">
        <v>21762817</v>
      </c>
      <c r="W167" s="59">
        <v>5946</v>
      </c>
      <c r="X167" s="93">
        <v>658237</v>
      </c>
      <c r="Y167" s="69">
        <v>397172</v>
      </c>
      <c r="Z167" s="77">
        <f t="shared" si="39"/>
        <v>1055409</v>
      </c>
      <c r="AA167" s="100">
        <f t="shared" ref="AA167:AA209" si="43">V167+W167+Z167</f>
        <v>22824172</v>
      </c>
      <c r="AB167" s="93"/>
      <c r="AC167" s="107"/>
      <c r="AD167" s="128">
        <f t="shared" ref="AD167:AD212" si="44">U167+AA167+AB167+AC167</f>
        <v>127082653.081</v>
      </c>
    </row>
    <row r="168" spans="1:30" x14ac:dyDescent="0.15">
      <c r="A168" s="24"/>
      <c r="B168" s="3"/>
      <c r="C168" s="3" t="s">
        <v>32</v>
      </c>
      <c r="D168" s="3"/>
      <c r="E168" s="3"/>
      <c r="F168" s="3"/>
      <c r="G168" s="93">
        <v>25694673</v>
      </c>
      <c r="H168" s="9"/>
      <c r="I168" s="93">
        <v>25694673</v>
      </c>
      <c r="J168" s="100"/>
      <c r="K168" s="112">
        <f t="shared" si="40"/>
        <v>25694673</v>
      </c>
      <c r="L168" s="59">
        <f t="shared" ref="L168:M168" si="45">SUM(L169:L172)</f>
        <v>1521789</v>
      </c>
      <c r="M168" s="77">
        <f t="shared" si="45"/>
        <v>10207243</v>
      </c>
      <c r="N168" s="59">
        <f>SUM(N169:N172)</f>
        <v>594752.08100000001</v>
      </c>
      <c r="O168" s="69">
        <f>SUM(O169:O172)</f>
        <v>62735</v>
      </c>
      <c r="P168" s="81">
        <f t="shared" ref="P168:Q168" si="46">SUM(P169:P172)</f>
        <v>730780</v>
      </c>
      <c r="Q168" s="81">
        <f t="shared" si="46"/>
        <v>27181</v>
      </c>
      <c r="R168" s="100">
        <f t="shared" si="37"/>
        <v>13144480.081</v>
      </c>
      <c r="S168" s="154"/>
      <c r="T168" s="77">
        <v>-32833</v>
      </c>
      <c r="U168" s="112">
        <f t="shared" si="38"/>
        <v>38806320.081</v>
      </c>
      <c r="V168" s="59">
        <v>506260</v>
      </c>
      <c r="W168" s="59">
        <v>562</v>
      </c>
      <c r="X168" s="93">
        <v>630653</v>
      </c>
      <c r="Y168" s="69">
        <v>384710</v>
      </c>
      <c r="Z168" s="77">
        <f t="shared" si="39"/>
        <v>1015363</v>
      </c>
      <c r="AA168" s="100">
        <f t="shared" si="43"/>
        <v>1522185</v>
      </c>
      <c r="AB168" s="93"/>
      <c r="AC168" s="107"/>
      <c r="AD168" s="128">
        <f>U168+AA168+AB168+AC168</f>
        <v>40328505.081</v>
      </c>
    </row>
    <row r="169" spans="1:30" x14ac:dyDescent="0.15">
      <c r="A169" s="24"/>
      <c r="B169" s="3"/>
      <c r="C169" s="3"/>
      <c r="D169" s="3" t="s">
        <v>33</v>
      </c>
      <c r="E169" s="3"/>
      <c r="F169" s="3"/>
      <c r="G169" s="93">
        <v>14559641</v>
      </c>
      <c r="H169" s="9"/>
      <c r="I169" s="93">
        <v>14559641</v>
      </c>
      <c r="J169" s="13"/>
      <c r="K169" s="112">
        <f t="shared" si="40"/>
        <v>14559641</v>
      </c>
      <c r="L169" s="59">
        <v>136916</v>
      </c>
      <c r="M169" s="77">
        <v>4874722</v>
      </c>
      <c r="N169" s="59">
        <v>207914.08100000001</v>
      </c>
      <c r="O169" s="69">
        <v>49613</v>
      </c>
      <c r="P169" s="81">
        <v>295782</v>
      </c>
      <c r="Q169" s="81">
        <v>0</v>
      </c>
      <c r="R169" s="100">
        <f t="shared" si="37"/>
        <v>5564947.0810000002</v>
      </c>
      <c r="S169" s="154"/>
      <c r="T169" s="9"/>
      <c r="U169" s="112">
        <f t="shared" si="38"/>
        <v>20124588.081</v>
      </c>
      <c r="V169" s="59">
        <v>22</v>
      </c>
      <c r="W169" s="59">
        <v>0</v>
      </c>
      <c r="X169" s="93">
        <v>149511</v>
      </c>
      <c r="Y169" s="69">
        <v>289815</v>
      </c>
      <c r="Z169" s="77">
        <f t="shared" si="39"/>
        <v>439326</v>
      </c>
      <c r="AA169" s="100">
        <f t="shared" si="43"/>
        <v>439348</v>
      </c>
      <c r="AB169" s="93"/>
      <c r="AC169" s="107"/>
      <c r="AD169" s="128">
        <f t="shared" si="44"/>
        <v>20563936.081</v>
      </c>
    </row>
    <row r="170" spans="1:30" x14ac:dyDescent="0.15">
      <c r="A170" s="24"/>
      <c r="B170" s="3"/>
      <c r="C170" s="3"/>
      <c r="D170" s="3" t="s">
        <v>167</v>
      </c>
      <c r="E170" s="3"/>
      <c r="F170" s="3"/>
      <c r="G170" s="93">
        <v>10447680</v>
      </c>
      <c r="H170" s="9"/>
      <c r="I170" s="93">
        <v>10447680</v>
      </c>
      <c r="J170" s="13"/>
      <c r="K170" s="112">
        <f t="shared" si="40"/>
        <v>10447680</v>
      </c>
      <c r="L170" s="59">
        <v>592022</v>
      </c>
      <c r="M170" s="77">
        <v>4509586</v>
      </c>
      <c r="N170" s="59">
        <v>330416</v>
      </c>
      <c r="O170" s="69">
        <v>13122</v>
      </c>
      <c r="P170" s="81">
        <v>434998</v>
      </c>
      <c r="Q170" s="81">
        <v>24385</v>
      </c>
      <c r="R170" s="100">
        <f t="shared" si="37"/>
        <v>5904529</v>
      </c>
      <c r="S170" s="154"/>
      <c r="T170" s="9"/>
      <c r="U170" s="112">
        <f t="shared" si="38"/>
        <v>16352209</v>
      </c>
      <c r="V170" s="59">
        <v>109035</v>
      </c>
      <c r="W170" s="59">
        <v>562</v>
      </c>
      <c r="X170" s="93">
        <v>466178</v>
      </c>
      <c r="Y170" s="69">
        <v>80198</v>
      </c>
      <c r="Z170" s="77">
        <f t="shared" si="39"/>
        <v>546376</v>
      </c>
      <c r="AA170" s="100">
        <f t="shared" si="43"/>
        <v>655973</v>
      </c>
      <c r="AB170" s="93"/>
      <c r="AC170" s="107"/>
      <c r="AD170" s="128">
        <f t="shared" si="44"/>
        <v>17008182</v>
      </c>
    </row>
    <row r="171" spans="1:30" x14ac:dyDescent="0.15">
      <c r="A171" s="24"/>
      <c r="B171" s="3"/>
      <c r="C171" s="3"/>
      <c r="D171" s="3" t="s">
        <v>34</v>
      </c>
      <c r="E171" s="3"/>
      <c r="F171" s="3"/>
      <c r="G171" s="93">
        <v>450299</v>
      </c>
      <c r="H171" s="9"/>
      <c r="I171" s="93">
        <v>450299</v>
      </c>
      <c r="J171" s="13"/>
      <c r="K171" s="112">
        <f t="shared" si="40"/>
        <v>450299</v>
      </c>
      <c r="L171" s="59">
        <v>754077</v>
      </c>
      <c r="M171" s="77">
        <v>155546</v>
      </c>
      <c r="N171" s="59"/>
      <c r="O171" s="69">
        <v>0</v>
      </c>
      <c r="P171" s="81">
        <v>0</v>
      </c>
      <c r="Q171" s="81">
        <v>2796</v>
      </c>
      <c r="R171" s="100">
        <f t="shared" si="37"/>
        <v>912419</v>
      </c>
      <c r="S171" s="154"/>
      <c r="T171" s="9"/>
      <c r="U171" s="112">
        <f t="shared" si="38"/>
        <v>1362718</v>
      </c>
      <c r="V171" s="59">
        <v>0</v>
      </c>
      <c r="W171" s="59">
        <v>0</v>
      </c>
      <c r="X171" s="93">
        <v>0</v>
      </c>
      <c r="Y171" s="69"/>
      <c r="Z171" s="77">
        <f t="shared" si="39"/>
        <v>0</v>
      </c>
      <c r="AA171" s="100">
        <f t="shared" si="43"/>
        <v>0</v>
      </c>
      <c r="AB171" s="93"/>
      <c r="AC171" s="107"/>
      <c r="AD171" s="128">
        <f t="shared" si="44"/>
        <v>1362718</v>
      </c>
    </row>
    <row r="172" spans="1:30" x14ac:dyDescent="0.15">
      <c r="A172" s="24"/>
      <c r="B172" s="3"/>
      <c r="C172" s="3"/>
      <c r="D172" s="3" t="s">
        <v>117</v>
      </c>
      <c r="E172" s="3"/>
      <c r="F172" s="3"/>
      <c r="G172" s="93">
        <v>237053</v>
      </c>
      <c r="H172" s="9"/>
      <c r="I172" s="93">
        <v>237053</v>
      </c>
      <c r="J172" s="13"/>
      <c r="K172" s="112">
        <f t="shared" si="40"/>
        <v>237053</v>
      </c>
      <c r="L172" s="59">
        <v>38774</v>
      </c>
      <c r="M172" s="77">
        <v>667389</v>
      </c>
      <c r="N172" s="59">
        <v>56422</v>
      </c>
      <c r="O172" s="69">
        <v>0</v>
      </c>
      <c r="P172" s="81">
        <v>0</v>
      </c>
      <c r="Q172" s="81">
        <v>0</v>
      </c>
      <c r="R172" s="100">
        <f t="shared" si="37"/>
        <v>762585</v>
      </c>
      <c r="S172" s="154"/>
      <c r="T172" s="77">
        <v>-32833</v>
      </c>
      <c r="U172" s="112">
        <f t="shared" si="38"/>
        <v>966805</v>
      </c>
      <c r="V172" s="59">
        <v>397203</v>
      </c>
      <c r="W172" s="59">
        <v>0</v>
      </c>
      <c r="X172" s="93">
        <v>14964</v>
      </c>
      <c r="Y172" s="69">
        <v>14697</v>
      </c>
      <c r="Z172" s="77">
        <f t="shared" si="39"/>
        <v>29661</v>
      </c>
      <c r="AA172" s="100">
        <f t="shared" si="43"/>
        <v>426864</v>
      </c>
      <c r="AB172" s="93"/>
      <c r="AC172" s="107"/>
      <c r="AD172" s="128">
        <f>U172+AA172+AB172+AC172</f>
        <v>1393669</v>
      </c>
    </row>
    <row r="173" spans="1:30" x14ac:dyDescent="0.15">
      <c r="A173" s="24"/>
      <c r="B173" s="3"/>
      <c r="C173" s="3" t="s">
        <v>35</v>
      </c>
      <c r="D173" s="3"/>
      <c r="E173" s="3"/>
      <c r="F173" s="3"/>
      <c r="G173" s="93">
        <v>31987900</v>
      </c>
      <c r="H173" s="9"/>
      <c r="I173" s="93">
        <v>31987900</v>
      </c>
      <c r="J173" s="110"/>
      <c r="K173" s="112">
        <f t="shared" si="40"/>
        <v>31987900</v>
      </c>
      <c r="L173" s="59">
        <f t="shared" ref="L173:M173" si="47">SUM(L174:L177)</f>
        <v>1069857</v>
      </c>
      <c r="M173" s="77">
        <f t="shared" si="47"/>
        <v>248068</v>
      </c>
      <c r="N173" s="59">
        <f>SUM(N174:N177)</f>
        <v>25613732</v>
      </c>
      <c r="O173" s="69">
        <f>SUM(O174:O177)</f>
        <v>3215279</v>
      </c>
      <c r="P173" s="81">
        <f t="shared" ref="P173:Q173" si="48">SUM(P174:P177)</f>
        <v>12561570</v>
      </c>
      <c r="Q173" s="81">
        <f t="shared" si="48"/>
        <v>0</v>
      </c>
      <c r="R173" s="100">
        <f t="shared" si="37"/>
        <v>42708506</v>
      </c>
      <c r="S173" s="154"/>
      <c r="T173" s="155">
        <f>SUM(T174:T177)</f>
        <v>-9244245</v>
      </c>
      <c r="U173" s="112">
        <f t="shared" si="38"/>
        <v>65452161</v>
      </c>
      <c r="V173" s="59">
        <v>21256557</v>
      </c>
      <c r="W173" s="59">
        <v>5384</v>
      </c>
      <c r="X173" s="93">
        <v>27584</v>
      </c>
      <c r="Y173" s="69">
        <v>12462</v>
      </c>
      <c r="Z173" s="77">
        <f t="shared" si="39"/>
        <v>40046</v>
      </c>
      <c r="AA173" s="100">
        <f t="shared" si="43"/>
        <v>21301987</v>
      </c>
      <c r="AB173" s="93"/>
      <c r="AC173" s="107"/>
      <c r="AD173" s="128">
        <f t="shared" si="44"/>
        <v>86754148</v>
      </c>
    </row>
    <row r="174" spans="1:30" x14ac:dyDescent="0.15">
      <c r="A174" s="24"/>
      <c r="B174" s="3"/>
      <c r="C174" s="3"/>
      <c r="D174" s="3" t="s">
        <v>118</v>
      </c>
      <c r="E174" s="3"/>
      <c r="F174" s="3"/>
      <c r="G174" s="93">
        <v>7101108</v>
      </c>
      <c r="H174" s="9"/>
      <c r="I174" s="93">
        <v>7101108</v>
      </c>
      <c r="J174" s="100"/>
      <c r="K174" s="112">
        <f t="shared" si="40"/>
        <v>7101108</v>
      </c>
      <c r="L174" s="59">
        <v>1069857</v>
      </c>
      <c r="M174" s="77">
        <v>248068</v>
      </c>
      <c r="N174" s="59">
        <v>10036634</v>
      </c>
      <c r="O174" s="69">
        <v>2987569</v>
      </c>
      <c r="P174" s="81">
        <v>0</v>
      </c>
      <c r="Q174" s="81">
        <v>0</v>
      </c>
      <c r="R174" s="100">
        <f t="shared" si="37"/>
        <v>14342128</v>
      </c>
      <c r="S174" s="154"/>
      <c r="T174" s="77">
        <f>-1803636-1370000</f>
        <v>-3173636</v>
      </c>
      <c r="U174" s="112">
        <f t="shared" si="38"/>
        <v>18269600</v>
      </c>
      <c r="V174" s="59">
        <v>21256557</v>
      </c>
      <c r="W174" s="59">
        <v>5131</v>
      </c>
      <c r="X174" s="93">
        <v>27584</v>
      </c>
      <c r="Y174" s="69">
        <v>12462</v>
      </c>
      <c r="Z174" s="77">
        <f t="shared" si="39"/>
        <v>40046</v>
      </c>
      <c r="AA174" s="100">
        <f t="shared" si="43"/>
        <v>21301734</v>
      </c>
      <c r="AB174" s="93"/>
      <c r="AC174" s="107"/>
      <c r="AD174" s="128">
        <f t="shared" si="44"/>
        <v>39571334</v>
      </c>
    </row>
    <row r="175" spans="1:30" x14ac:dyDescent="0.15">
      <c r="A175" s="24"/>
      <c r="B175" s="3"/>
      <c r="C175" s="3"/>
      <c r="D175" s="3" t="s">
        <v>36</v>
      </c>
      <c r="E175" s="3"/>
      <c r="F175" s="3"/>
      <c r="G175" s="93">
        <v>18801816</v>
      </c>
      <c r="H175" s="9"/>
      <c r="I175" s="93">
        <v>18801816</v>
      </c>
      <c r="J175" s="13"/>
      <c r="K175" s="112">
        <f t="shared" si="40"/>
        <v>18801816</v>
      </c>
      <c r="L175" s="59">
        <v>0</v>
      </c>
      <c r="M175" s="77">
        <v>0</v>
      </c>
      <c r="N175" s="59">
        <v>15556078</v>
      </c>
      <c r="O175" s="69">
        <v>0</v>
      </c>
      <c r="P175" s="81">
        <v>12494067</v>
      </c>
      <c r="Q175" s="81">
        <v>0</v>
      </c>
      <c r="R175" s="100">
        <f t="shared" si="37"/>
        <v>28050145</v>
      </c>
      <c r="S175" s="154"/>
      <c r="T175" s="9"/>
      <c r="U175" s="112">
        <f t="shared" si="38"/>
        <v>46851961</v>
      </c>
      <c r="V175" s="59">
        <v>0</v>
      </c>
      <c r="W175" s="59">
        <v>0</v>
      </c>
      <c r="X175" s="93">
        <v>0</v>
      </c>
      <c r="Y175" s="69"/>
      <c r="Z175" s="77">
        <f t="shared" si="39"/>
        <v>0</v>
      </c>
      <c r="AA175" s="100">
        <f t="shared" si="43"/>
        <v>0</v>
      </c>
      <c r="AB175" s="93"/>
      <c r="AC175" s="107"/>
      <c r="AD175" s="128">
        <f t="shared" si="44"/>
        <v>46851961</v>
      </c>
    </row>
    <row r="176" spans="1:30" x14ac:dyDescent="0.15">
      <c r="A176" s="24"/>
      <c r="B176" s="3"/>
      <c r="C176" s="3"/>
      <c r="D176" s="3" t="s">
        <v>119</v>
      </c>
      <c r="E176" s="3"/>
      <c r="F176" s="3"/>
      <c r="G176" s="93">
        <v>6070609</v>
      </c>
      <c r="H176" s="9"/>
      <c r="I176" s="93">
        <v>6070609</v>
      </c>
      <c r="J176" s="100"/>
      <c r="K176" s="112">
        <f t="shared" si="40"/>
        <v>6070609</v>
      </c>
      <c r="L176" s="59">
        <v>0</v>
      </c>
      <c r="M176" s="77">
        <v>0</v>
      </c>
      <c r="N176" s="59">
        <v>21020</v>
      </c>
      <c r="O176" s="69">
        <v>0</v>
      </c>
      <c r="P176" s="81">
        <v>0</v>
      </c>
      <c r="Q176" s="81">
        <v>0</v>
      </c>
      <c r="R176" s="100">
        <f t="shared" si="37"/>
        <v>21020</v>
      </c>
      <c r="S176" s="154"/>
      <c r="T176" s="77">
        <v>-6070609</v>
      </c>
      <c r="U176" s="112">
        <f t="shared" si="38"/>
        <v>21020</v>
      </c>
      <c r="V176" s="59">
        <v>0</v>
      </c>
      <c r="W176" s="59">
        <v>0</v>
      </c>
      <c r="X176" s="93">
        <v>0</v>
      </c>
      <c r="Y176" s="69"/>
      <c r="Z176" s="77">
        <f t="shared" si="39"/>
        <v>0</v>
      </c>
      <c r="AA176" s="100">
        <f t="shared" si="43"/>
        <v>0</v>
      </c>
      <c r="AB176" s="93"/>
      <c r="AC176" s="107"/>
      <c r="AD176" s="128">
        <f t="shared" si="44"/>
        <v>21020</v>
      </c>
    </row>
    <row r="177" spans="1:30" x14ac:dyDescent="0.15">
      <c r="A177" s="24"/>
      <c r="B177" s="3"/>
      <c r="C177" s="3"/>
      <c r="D177" s="3" t="s">
        <v>117</v>
      </c>
      <c r="E177" s="3"/>
      <c r="F177" s="3"/>
      <c r="G177" s="93">
        <v>14367</v>
      </c>
      <c r="H177" s="9"/>
      <c r="I177" s="93">
        <v>14367</v>
      </c>
      <c r="J177" s="13"/>
      <c r="K177" s="112">
        <f t="shared" si="40"/>
        <v>14367</v>
      </c>
      <c r="L177" s="59">
        <v>0</v>
      </c>
      <c r="M177" s="77">
        <v>0</v>
      </c>
      <c r="N177" s="59"/>
      <c r="O177" s="69">
        <v>227710</v>
      </c>
      <c r="P177" s="81">
        <v>67503</v>
      </c>
      <c r="Q177" s="81">
        <v>0</v>
      </c>
      <c r="R177" s="100">
        <f t="shared" si="37"/>
        <v>295213</v>
      </c>
      <c r="S177" s="8"/>
      <c r="T177" s="25"/>
      <c r="U177" s="112">
        <f t="shared" si="38"/>
        <v>309580</v>
      </c>
      <c r="V177" s="59">
        <v>0</v>
      </c>
      <c r="W177" s="59">
        <v>253</v>
      </c>
      <c r="X177" s="93">
        <v>0</v>
      </c>
      <c r="Y177" s="69"/>
      <c r="Z177" s="77">
        <f t="shared" si="39"/>
        <v>0</v>
      </c>
      <c r="AA177" s="100">
        <f t="shared" si="43"/>
        <v>253</v>
      </c>
      <c r="AB177" s="93"/>
      <c r="AC177" s="107"/>
      <c r="AD177" s="128">
        <f t="shared" si="44"/>
        <v>309833</v>
      </c>
    </row>
    <row r="178" spans="1:30" x14ac:dyDescent="0.15">
      <c r="A178" s="24"/>
      <c r="B178" s="3" t="s">
        <v>37</v>
      </c>
      <c r="C178" s="3"/>
      <c r="D178" s="3"/>
      <c r="E178" s="3"/>
      <c r="F178" s="3"/>
      <c r="G178" s="93">
        <v>60446059</v>
      </c>
      <c r="H178" s="9"/>
      <c r="I178" s="93">
        <v>60446059</v>
      </c>
      <c r="J178" s="13"/>
      <c r="K178" s="112">
        <f t="shared" si="40"/>
        <v>60446059</v>
      </c>
      <c r="L178" s="59">
        <f>L181+L182</f>
        <v>4452388</v>
      </c>
      <c r="M178" s="77">
        <f>M179+M182+M181</f>
        <v>9881038</v>
      </c>
      <c r="N178" s="59">
        <f>SUM(N179:N182)</f>
        <v>26326041</v>
      </c>
      <c r="O178" s="69">
        <f>O179+O182</f>
        <v>3278542</v>
      </c>
      <c r="P178" s="81">
        <f>P179+P182+P180</f>
        <v>13692846</v>
      </c>
      <c r="Q178" s="81">
        <f t="shared" ref="Q178" si="49">Q179+Q182</f>
        <v>27181</v>
      </c>
      <c r="R178" s="100">
        <f t="shared" si="37"/>
        <v>57658036</v>
      </c>
      <c r="S178" s="8"/>
      <c r="T178" s="120">
        <f>T179+T182</f>
        <v>-8856109</v>
      </c>
      <c r="U178" s="112">
        <f t="shared" si="38"/>
        <v>109247986</v>
      </c>
      <c r="V178" s="59">
        <v>22314029</v>
      </c>
      <c r="W178" s="59">
        <v>35806</v>
      </c>
      <c r="X178" s="93">
        <v>688744</v>
      </c>
      <c r="Y178" s="69">
        <v>423040</v>
      </c>
      <c r="Z178" s="77">
        <f t="shared" si="39"/>
        <v>1111784</v>
      </c>
      <c r="AA178" s="100">
        <f t="shared" si="43"/>
        <v>23461619</v>
      </c>
      <c r="AB178" s="93"/>
      <c r="AC178" s="107"/>
      <c r="AD178" s="128">
        <f t="shared" si="44"/>
        <v>132709605</v>
      </c>
    </row>
    <row r="179" spans="1:30" x14ac:dyDescent="0.15">
      <c r="A179" s="24"/>
      <c r="B179" s="3"/>
      <c r="C179" s="3" t="s">
        <v>120</v>
      </c>
      <c r="D179" s="3"/>
      <c r="E179" s="3"/>
      <c r="F179" s="3"/>
      <c r="G179" s="93">
        <v>43092181</v>
      </c>
      <c r="H179" s="9"/>
      <c r="I179" s="93">
        <v>43092181</v>
      </c>
      <c r="J179" s="13"/>
      <c r="K179" s="112">
        <f t="shared" si="40"/>
        <v>43092181</v>
      </c>
      <c r="L179" s="59">
        <v>0</v>
      </c>
      <c r="M179" s="77">
        <v>0</v>
      </c>
      <c r="N179" s="59">
        <v>5786232</v>
      </c>
      <c r="O179" s="69">
        <v>2640378</v>
      </c>
      <c r="P179" s="81">
        <v>3323916</v>
      </c>
      <c r="Q179" s="81">
        <v>0</v>
      </c>
      <c r="R179" s="100">
        <f t="shared" si="37"/>
        <v>11750526</v>
      </c>
      <c r="S179" s="93"/>
      <c r="T179" s="107">
        <f>-6070609-1630378</f>
        <v>-7700987</v>
      </c>
      <c r="U179" s="112">
        <f t="shared" si="38"/>
        <v>47141720</v>
      </c>
      <c r="V179" s="59">
        <v>12264722</v>
      </c>
      <c r="W179" s="59">
        <v>0</v>
      </c>
      <c r="X179" s="93">
        <v>0</v>
      </c>
      <c r="Y179" s="69"/>
      <c r="Z179" s="77">
        <f t="shared" si="39"/>
        <v>0</v>
      </c>
      <c r="AA179" s="100">
        <f t="shared" si="43"/>
        <v>12264722</v>
      </c>
      <c r="AB179" s="93"/>
      <c r="AC179" s="107"/>
      <c r="AD179" s="128">
        <f t="shared" si="44"/>
        <v>59406442</v>
      </c>
    </row>
    <row r="180" spans="1:30" x14ac:dyDescent="0.15">
      <c r="A180" s="24"/>
      <c r="B180" s="3"/>
      <c r="C180" s="3" t="s">
        <v>121</v>
      </c>
      <c r="D180" s="3"/>
      <c r="E180" s="3"/>
      <c r="F180" s="3"/>
      <c r="G180" s="93">
        <v>15077675</v>
      </c>
      <c r="H180" s="9"/>
      <c r="I180" s="93">
        <v>15077675</v>
      </c>
      <c r="J180" s="13"/>
      <c r="K180" s="112">
        <f t="shared" si="40"/>
        <v>15077675</v>
      </c>
      <c r="L180" s="59">
        <v>0</v>
      </c>
      <c r="M180" s="77">
        <v>0</v>
      </c>
      <c r="N180" s="59">
        <v>6095417</v>
      </c>
      <c r="O180" s="69">
        <v>0</v>
      </c>
      <c r="P180" s="81">
        <v>4635890</v>
      </c>
      <c r="Q180" s="81">
        <v>0</v>
      </c>
      <c r="R180" s="100">
        <f t="shared" si="37"/>
        <v>10731307</v>
      </c>
      <c r="S180" s="8"/>
      <c r="T180" s="25"/>
      <c r="U180" s="112">
        <f t="shared" si="38"/>
        <v>25808982</v>
      </c>
      <c r="V180" s="59">
        <v>10017799</v>
      </c>
      <c r="W180" s="59">
        <v>0</v>
      </c>
      <c r="X180" s="93">
        <v>0</v>
      </c>
      <c r="Y180" s="69"/>
      <c r="Z180" s="77">
        <f t="shared" si="39"/>
        <v>0</v>
      </c>
      <c r="AA180" s="100">
        <f t="shared" si="43"/>
        <v>10017799</v>
      </c>
      <c r="AB180" s="93"/>
      <c r="AC180" s="107"/>
      <c r="AD180" s="128">
        <f t="shared" si="44"/>
        <v>35826781</v>
      </c>
    </row>
    <row r="181" spans="1:30" x14ac:dyDescent="0.15">
      <c r="A181" s="24"/>
      <c r="B181" s="3"/>
      <c r="C181" s="3" t="s">
        <v>122</v>
      </c>
      <c r="D181" s="3"/>
      <c r="E181" s="3"/>
      <c r="F181" s="3"/>
      <c r="G181" s="93">
        <v>786600</v>
      </c>
      <c r="H181" s="9"/>
      <c r="I181" s="93">
        <v>786600</v>
      </c>
      <c r="J181" s="13"/>
      <c r="K181" s="112">
        <f t="shared" si="40"/>
        <v>786600</v>
      </c>
      <c r="L181" s="59">
        <v>2818430</v>
      </c>
      <c r="M181" s="77">
        <v>8825908</v>
      </c>
      <c r="N181" s="59"/>
      <c r="O181" s="69">
        <v>0</v>
      </c>
      <c r="P181" s="81">
        <v>0</v>
      </c>
      <c r="Q181" s="81">
        <v>0</v>
      </c>
      <c r="R181" s="100">
        <f t="shared" si="37"/>
        <v>11644338</v>
      </c>
      <c r="S181" s="8"/>
      <c r="T181" s="25"/>
      <c r="U181" s="112">
        <f t="shared" si="38"/>
        <v>12430938</v>
      </c>
      <c r="V181" s="59">
        <v>0</v>
      </c>
      <c r="W181" s="59">
        <v>35805</v>
      </c>
      <c r="X181" s="93">
        <v>669471</v>
      </c>
      <c r="Y181" s="69">
        <v>417910</v>
      </c>
      <c r="Z181" s="77">
        <f t="shared" si="39"/>
        <v>1087381</v>
      </c>
      <c r="AA181" s="100">
        <f t="shared" si="43"/>
        <v>1123186</v>
      </c>
      <c r="AB181" s="93"/>
      <c r="AC181" s="107"/>
      <c r="AD181" s="128">
        <f t="shared" si="44"/>
        <v>13554124</v>
      </c>
    </row>
    <row r="182" spans="1:30" x14ac:dyDescent="0.15">
      <c r="A182" s="24"/>
      <c r="B182" s="3"/>
      <c r="C182" s="3" t="s">
        <v>123</v>
      </c>
      <c r="D182" s="3"/>
      <c r="E182" s="3"/>
      <c r="F182" s="3"/>
      <c r="G182" s="93">
        <v>1489603</v>
      </c>
      <c r="H182" s="9"/>
      <c r="I182" s="93">
        <v>1489603</v>
      </c>
      <c r="J182" s="13"/>
      <c r="K182" s="112">
        <f t="shared" si="40"/>
        <v>1489603</v>
      </c>
      <c r="L182" s="59">
        <v>1633958</v>
      </c>
      <c r="M182" s="77">
        <v>1055130</v>
      </c>
      <c r="N182" s="59">
        <v>14444392</v>
      </c>
      <c r="O182" s="69">
        <f>138437+499727</f>
        <v>638164</v>
      </c>
      <c r="P182" s="81">
        <v>5733040</v>
      </c>
      <c r="Q182" s="81">
        <v>27181</v>
      </c>
      <c r="R182" s="100">
        <f t="shared" si="37"/>
        <v>23531865</v>
      </c>
      <c r="S182" s="8"/>
      <c r="T182" s="107">
        <f>-941456-180833-32833</f>
        <v>-1155122</v>
      </c>
      <c r="U182" s="112">
        <f t="shared" si="38"/>
        <v>23866346</v>
      </c>
      <c r="V182" s="59">
        <v>31508</v>
      </c>
      <c r="W182" s="59">
        <v>1</v>
      </c>
      <c r="X182" s="93">
        <v>19273</v>
      </c>
      <c r="Y182" s="69">
        <v>5130</v>
      </c>
      <c r="Z182" s="77">
        <f t="shared" si="39"/>
        <v>24403</v>
      </c>
      <c r="AA182" s="100">
        <f t="shared" si="43"/>
        <v>55912</v>
      </c>
      <c r="AB182" s="93"/>
      <c r="AC182" s="107"/>
      <c r="AD182" s="128">
        <f t="shared" si="44"/>
        <v>23922258</v>
      </c>
    </row>
    <row r="183" spans="1:30" x14ac:dyDescent="0.15">
      <c r="A183" s="24"/>
      <c r="B183" s="3" t="s">
        <v>38</v>
      </c>
      <c r="C183" s="3"/>
      <c r="D183" s="3"/>
      <c r="E183" s="3"/>
      <c r="F183" s="3"/>
      <c r="G183" s="93">
        <v>1038</v>
      </c>
      <c r="H183" s="9"/>
      <c r="I183" s="93">
        <v>1038</v>
      </c>
      <c r="J183" s="13"/>
      <c r="K183" s="112">
        <f t="shared" si="40"/>
        <v>1038</v>
      </c>
      <c r="L183" s="59"/>
      <c r="M183" s="77"/>
      <c r="N183" s="59"/>
      <c r="O183" s="69"/>
      <c r="P183" s="81"/>
      <c r="Q183" s="81"/>
      <c r="R183" s="100">
        <f t="shared" si="37"/>
        <v>0</v>
      </c>
      <c r="S183" s="8"/>
      <c r="T183" s="25"/>
      <c r="U183" s="112">
        <f t="shared" si="38"/>
        <v>1038</v>
      </c>
      <c r="V183" s="59">
        <v>0</v>
      </c>
      <c r="W183" s="59">
        <v>0</v>
      </c>
      <c r="X183" s="93">
        <v>0</v>
      </c>
      <c r="Y183" s="69"/>
      <c r="Z183" s="77">
        <f t="shared" si="39"/>
        <v>0</v>
      </c>
      <c r="AA183" s="100">
        <f t="shared" si="43"/>
        <v>0</v>
      </c>
      <c r="AB183" s="93"/>
      <c r="AC183" s="107"/>
      <c r="AD183" s="128">
        <f t="shared" si="44"/>
        <v>1038</v>
      </c>
    </row>
    <row r="184" spans="1:30" x14ac:dyDescent="0.15">
      <c r="A184" s="24"/>
      <c r="B184" s="3"/>
      <c r="C184" s="3" t="s">
        <v>39</v>
      </c>
      <c r="D184" s="3"/>
      <c r="E184" s="3"/>
      <c r="F184" s="3"/>
      <c r="G184" s="93">
        <v>1038</v>
      </c>
      <c r="H184" s="9"/>
      <c r="I184" s="93">
        <v>1038</v>
      </c>
      <c r="J184" s="13"/>
      <c r="K184" s="112">
        <f t="shared" si="40"/>
        <v>1038</v>
      </c>
      <c r="L184" s="59"/>
      <c r="M184" s="77"/>
      <c r="N184" s="59"/>
      <c r="O184" s="69"/>
      <c r="P184" s="81"/>
      <c r="Q184" s="81"/>
      <c r="R184" s="100">
        <f t="shared" si="37"/>
        <v>0</v>
      </c>
      <c r="S184" s="8"/>
      <c r="T184" s="25"/>
      <c r="U184" s="112">
        <f t="shared" si="38"/>
        <v>1038</v>
      </c>
      <c r="V184" s="59">
        <v>0</v>
      </c>
      <c r="W184" s="59">
        <v>0</v>
      </c>
      <c r="X184" s="93">
        <v>0</v>
      </c>
      <c r="Y184" s="69"/>
      <c r="Z184" s="77">
        <f t="shared" si="39"/>
        <v>0</v>
      </c>
      <c r="AA184" s="100">
        <f t="shared" si="43"/>
        <v>0</v>
      </c>
      <c r="AB184" s="93"/>
      <c r="AC184" s="107"/>
      <c r="AD184" s="128">
        <f t="shared" si="44"/>
        <v>1038</v>
      </c>
    </row>
    <row r="185" spans="1:30" x14ac:dyDescent="0.15">
      <c r="A185" s="24"/>
      <c r="B185" s="3"/>
      <c r="C185" s="3" t="s">
        <v>117</v>
      </c>
      <c r="D185" s="3"/>
      <c r="E185" s="3"/>
      <c r="F185" s="3"/>
      <c r="G185" s="93">
        <v>0</v>
      </c>
      <c r="H185" s="9"/>
      <c r="I185" s="93">
        <v>0</v>
      </c>
      <c r="J185" s="13"/>
      <c r="K185" s="112">
        <f t="shared" si="40"/>
        <v>0</v>
      </c>
      <c r="L185" s="59"/>
      <c r="M185" s="77"/>
      <c r="N185" s="59"/>
      <c r="O185" s="69"/>
      <c r="P185" s="81"/>
      <c r="Q185" s="81"/>
      <c r="R185" s="100">
        <f t="shared" si="37"/>
        <v>0</v>
      </c>
      <c r="S185" s="8"/>
      <c r="T185" s="25"/>
      <c r="U185" s="112">
        <f t="shared" si="38"/>
        <v>0</v>
      </c>
      <c r="V185" s="59">
        <v>0</v>
      </c>
      <c r="W185" s="59">
        <v>0</v>
      </c>
      <c r="X185" s="93">
        <v>0</v>
      </c>
      <c r="Y185" s="69"/>
      <c r="Z185" s="77">
        <f t="shared" si="39"/>
        <v>0</v>
      </c>
      <c r="AA185" s="100">
        <f t="shared" si="43"/>
        <v>0</v>
      </c>
      <c r="AB185" s="93"/>
      <c r="AC185" s="107"/>
      <c r="AD185" s="128">
        <f t="shared" si="44"/>
        <v>0</v>
      </c>
    </row>
    <row r="186" spans="1:30" x14ac:dyDescent="0.15">
      <c r="A186" s="31"/>
      <c r="B186" s="2" t="s">
        <v>40</v>
      </c>
      <c r="C186" s="2"/>
      <c r="D186" s="2"/>
      <c r="E186" s="2"/>
      <c r="F186" s="2"/>
      <c r="G186" s="95">
        <v>0</v>
      </c>
      <c r="H186" s="33"/>
      <c r="I186" s="95">
        <v>0</v>
      </c>
      <c r="J186" s="34"/>
      <c r="K186" s="114">
        <f t="shared" si="40"/>
        <v>0</v>
      </c>
      <c r="L186" s="63"/>
      <c r="M186" s="79"/>
      <c r="N186" s="63"/>
      <c r="O186" s="71"/>
      <c r="P186" s="84"/>
      <c r="Q186" s="84"/>
      <c r="R186" s="102">
        <f t="shared" si="37"/>
        <v>0</v>
      </c>
      <c r="S186" s="32"/>
      <c r="T186" s="36"/>
      <c r="U186" s="114">
        <f t="shared" si="38"/>
        <v>0</v>
      </c>
      <c r="V186" s="63">
        <v>114653</v>
      </c>
      <c r="W186" s="63">
        <v>0</v>
      </c>
      <c r="X186" s="95">
        <v>0</v>
      </c>
      <c r="Y186" s="71"/>
      <c r="Z186" s="79">
        <f t="shared" si="39"/>
        <v>0</v>
      </c>
      <c r="AA186" s="102">
        <f t="shared" si="43"/>
        <v>114653</v>
      </c>
      <c r="AB186" s="95"/>
      <c r="AC186" s="109"/>
      <c r="AD186" s="133">
        <f t="shared" si="44"/>
        <v>114653</v>
      </c>
    </row>
    <row r="187" spans="1:30" x14ac:dyDescent="0.15">
      <c r="A187" s="37" t="s">
        <v>48</v>
      </c>
      <c r="B187" s="22"/>
      <c r="C187" s="22"/>
      <c r="D187" s="22"/>
      <c r="E187" s="22"/>
      <c r="F187" s="22"/>
      <c r="G187" s="92">
        <v>-4949760</v>
      </c>
      <c r="H187" s="7"/>
      <c r="I187" s="92">
        <v>-4949760</v>
      </c>
      <c r="J187" s="99"/>
      <c r="K187" s="111">
        <f>I187-J187</f>
        <v>-4949760</v>
      </c>
      <c r="L187" s="61">
        <f t="shared" ref="L187" si="50">L194-L188</f>
        <v>-1504842</v>
      </c>
      <c r="M187" s="76">
        <f>M194-M188</f>
        <v>-793754</v>
      </c>
      <c r="N187" s="61">
        <f>N194-N188</f>
        <v>-83729.875999999989</v>
      </c>
      <c r="O187" s="61">
        <f>O194-O188</f>
        <v>0</v>
      </c>
      <c r="P187" s="85">
        <f t="shared" ref="P187:Q187" si="51">P194-P188</f>
        <v>0</v>
      </c>
      <c r="Q187" s="85">
        <f t="shared" si="51"/>
        <v>-10000</v>
      </c>
      <c r="R187" s="103">
        <f t="shared" si="37"/>
        <v>-2392325.8760000002</v>
      </c>
      <c r="S187" s="167"/>
      <c r="T187" s="125">
        <f>-173258+180833</f>
        <v>7575</v>
      </c>
      <c r="U187" s="115">
        <f t="shared" si="38"/>
        <v>-7334510.8760000002</v>
      </c>
      <c r="V187" s="61">
        <v>187561</v>
      </c>
      <c r="W187" s="61">
        <v>-6107</v>
      </c>
      <c r="X187" s="92">
        <v>0</v>
      </c>
      <c r="Y187" s="70">
        <v>-15195</v>
      </c>
      <c r="Z187" s="76">
        <f t="shared" si="39"/>
        <v>-15195</v>
      </c>
      <c r="AA187" s="103">
        <f t="shared" si="43"/>
        <v>166259</v>
      </c>
      <c r="AB187" s="92"/>
      <c r="AC187" s="119"/>
      <c r="AD187" s="126">
        <f>U187+AA187+AB187+AC187</f>
        <v>-7168251.8760000002</v>
      </c>
    </row>
    <row r="188" spans="1:30" x14ac:dyDescent="0.15">
      <c r="A188" s="24"/>
      <c r="B188" s="3" t="s">
        <v>42</v>
      </c>
      <c r="C188" s="3"/>
      <c r="D188" s="3"/>
      <c r="E188" s="3"/>
      <c r="F188" s="3"/>
      <c r="G188" s="93">
        <v>9022792</v>
      </c>
      <c r="H188" s="9"/>
      <c r="I188" s="93">
        <v>9022792</v>
      </c>
      <c r="J188" s="100"/>
      <c r="K188" s="112">
        <f t="shared" si="40"/>
        <v>9022792</v>
      </c>
      <c r="L188" s="59">
        <f>SUM(L189:L193)</f>
        <v>2222273</v>
      </c>
      <c r="M188" s="77">
        <v>800774</v>
      </c>
      <c r="N188" s="59">
        <f>SUM(N189:N193)</f>
        <v>153729.87599999999</v>
      </c>
      <c r="O188" s="69">
        <v>0</v>
      </c>
      <c r="P188" s="81">
        <v>0</v>
      </c>
      <c r="Q188" s="81">
        <v>10032</v>
      </c>
      <c r="R188" s="100">
        <f t="shared" si="37"/>
        <v>3186808.8760000002</v>
      </c>
      <c r="S188" s="154"/>
      <c r="T188" s="77">
        <v>-180833</v>
      </c>
      <c r="U188" s="112">
        <f t="shared" si="38"/>
        <v>12028767.876</v>
      </c>
      <c r="V188" s="59">
        <v>19328</v>
      </c>
      <c r="W188" s="59">
        <v>6107</v>
      </c>
      <c r="X188" s="93">
        <v>0</v>
      </c>
      <c r="Y188" s="69">
        <v>15195</v>
      </c>
      <c r="Z188" s="77">
        <f t="shared" si="39"/>
        <v>15195</v>
      </c>
      <c r="AA188" s="100">
        <f t="shared" si="43"/>
        <v>40630</v>
      </c>
      <c r="AB188" s="93"/>
      <c r="AC188" s="107"/>
      <c r="AD188" s="128">
        <f t="shared" si="44"/>
        <v>12069397.876</v>
      </c>
    </row>
    <row r="189" spans="1:30" x14ac:dyDescent="0.15">
      <c r="A189" s="24"/>
      <c r="B189" s="3"/>
      <c r="C189" s="3" t="s">
        <v>124</v>
      </c>
      <c r="D189" s="3"/>
      <c r="E189" s="3"/>
      <c r="F189" s="3"/>
      <c r="G189" s="93">
        <v>6978822</v>
      </c>
      <c r="H189" s="9"/>
      <c r="I189" s="93">
        <v>6978822</v>
      </c>
      <c r="J189" s="13"/>
      <c r="K189" s="112">
        <f t="shared" si="40"/>
        <v>6978822</v>
      </c>
      <c r="L189" s="59">
        <v>2158495</v>
      </c>
      <c r="M189" s="77">
        <v>800774</v>
      </c>
      <c r="N189" s="59"/>
      <c r="O189" s="69"/>
      <c r="P189" s="81"/>
      <c r="Q189" s="81">
        <v>10032</v>
      </c>
      <c r="R189" s="100">
        <f t="shared" si="37"/>
        <v>2969301</v>
      </c>
      <c r="S189" s="154"/>
      <c r="T189" s="9"/>
      <c r="U189" s="112">
        <f t="shared" si="38"/>
        <v>9948123</v>
      </c>
      <c r="V189" s="59">
        <v>0</v>
      </c>
      <c r="W189" s="59">
        <v>6107</v>
      </c>
      <c r="X189" s="93"/>
      <c r="Y189" s="69">
        <v>15195</v>
      </c>
      <c r="Z189" s="77">
        <f t="shared" si="39"/>
        <v>15195</v>
      </c>
      <c r="AA189" s="100">
        <f t="shared" si="43"/>
        <v>21302</v>
      </c>
      <c r="AB189" s="93"/>
      <c r="AC189" s="107"/>
      <c r="AD189" s="128">
        <f t="shared" si="44"/>
        <v>9969425</v>
      </c>
    </row>
    <row r="190" spans="1:30" x14ac:dyDescent="0.15">
      <c r="A190" s="24"/>
      <c r="B190" s="3"/>
      <c r="C190" s="3" t="s">
        <v>125</v>
      </c>
      <c r="D190" s="3"/>
      <c r="E190" s="3"/>
      <c r="F190" s="3"/>
      <c r="G190" s="93">
        <v>54190</v>
      </c>
      <c r="H190" s="9"/>
      <c r="I190" s="93">
        <v>54190</v>
      </c>
      <c r="J190" s="13"/>
      <c r="K190" s="112">
        <f t="shared" si="40"/>
        <v>54190</v>
      </c>
      <c r="L190" s="59">
        <v>0</v>
      </c>
      <c r="M190" s="77"/>
      <c r="N190" s="59">
        <v>153729.87599999999</v>
      </c>
      <c r="O190" s="69"/>
      <c r="P190" s="81"/>
      <c r="Q190" s="81"/>
      <c r="R190" s="100">
        <f t="shared" si="37"/>
        <v>153729.87599999999</v>
      </c>
      <c r="S190" s="154"/>
      <c r="T190" s="9"/>
      <c r="U190" s="112">
        <f t="shared" si="38"/>
        <v>207919.87599999999</v>
      </c>
      <c r="V190" s="59">
        <v>19328</v>
      </c>
      <c r="W190" s="59"/>
      <c r="X190" s="93"/>
      <c r="Y190" s="69"/>
      <c r="Z190" s="77">
        <f t="shared" si="39"/>
        <v>0</v>
      </c>
      <c r="AA190" s="100">
        <f t="shared" si="43"/>
        <v>19328</v>
      </c>
      <c r="AB190" s="93"/>
      <c r="AC190" s="107"/>
      <c r="AD190" s="128">
        <f t="shared" si="44"/>
        <v>227247.87599999999</v>
      </c>
    </row>
    <row r="191" spans="1:30" x14ac:dyDescent="0.15">
      <c r="A191" s="24"/>
      <c r="B191" s="3"/>
      <c r="C191" s="3" t="s">
        <v>43</v>
      </c>
      <c r="D191" s="3"/>
      <c r="E191" s="3"/>
      <c r="F191" s="3"/>
      <c r="G191" s="93">
        <v>180833</v>
      </c>
      <c r="H191" s="9"/>
      <c r="I191" s="93">
        <v>180833</v>
      </c>
      <c r="J191" s="100"/>
      <c r="K191" s="112">
        <f t="shared" si="40"/>
        <v>180833</v>
      </c>
      <c r="L191" s="59">
        <v>0</v>
      </c>
      <c r="M191" s="77"/>
      <c r="N191" s="59"/>
      <c r="O191" s="69"/>
      <c r="P191" s="81"/>
      <c r="Q191" s="81"/>
      <c r="R191" s="100">
        <f t="shared" si="37"/>
        <v>0</v>
      </c>
      <c r="S191" s="154"/>
      <c r="T191" s="77">
        <v>-180833</v>
      </c>
      <c r="U191" s="112">
        <f t="shared" si="38"/>
        <v>0</v>
      </c>
      <c r="V191" s="59">
        <v>0</v>
      </c>
      <c r="W191" s="59"/>
      <c r="X191" s="93"/>
      <c r="Y191" s="69"/>
      <c r="Z191" s="77">
        <f t="shared" si="39"/>
        <v>0</v>
      </c>
      <c r="AA191" s="100">
        <f t="shared" si="43"/>
        <v>0</v>
      </c>
      <c r="AB191" s="93"/>
      <c r="AC191" s="107"/>
      <c r="AD191" s="128">
        <f t="shared" si="44"/>
        <v>0</v>
      </c>
    </row>
    <row r="192" spans="1:30" x14ac:dyDescent="0.15">
      <c r="A192" s="24"/>
      <c r="B192" s="3"/>
      <c r="C192" s="3" t="s">
        <v>44</v>
      </c>
      <c r="D192" s="3"/>
      <c r="E192" s="3"/>
      <c r="F192" s="3"/>
      <c r="G192" s="93">
        <v>1808947</v>
      </c>
      <c r="H192" s="9"/>
      <c r="I192" s="93">
        <v>1808947</v>
      </c>
      <c r="J192" s="13"/>
      <c r="K192" s="112">
        <f t="shared" si="40"/>
        <v>1808947</v>
      </c>
      <c r="L192" s="59">
        <v>0</v>
      </c>
      <c r="M192" s="77"/>
      <c r="N192" s="59"/>
      <c r="O192" s="69"/>
      <c r="P192" s="81"/>
      <c r="Q192" s="81"/>
      <c r="R192" s="100">
        <f t="shared" si="37"/>
        <v>0</v>
      </c>
      <c r="S192" s="8"/>
      <c r="T192" s="25"/>
      <c r="U192" s="112">
        <f t="shared" si="38"/>
        <v>1808947</v>
      </c>
      <c r="V192" s="59">
        <v>0</v>
      </c>
      <c r="W192" s="59"/>
      <c r="X192" s="93"/>
      <c r="Y192" s="69"/>
      <c r="Z192" s="77">
        <f t="shared" si="39"/>
        <v>0</v>
      </c>
      <c r="AA192" s="100">
        <f t="shared" si="43"/>
        <v>0</v>
      </c>
      <c r="AB192" s="93"/>
      <c r="AC192" s="107"/>
      <c r="AD192" s="128">
        <f t="shared" si="44"/>
        <v>1808947</v>
      </c>
    </row>
    <row r="193" spans="1:30" x14ac:dyDescent="0.15">
      <c r="A193" s="24"/>
      <c r="B193" s="3"/>
      <c r="C193" s="3" t="s">
        <v>117</v>
      </c>
      <c r="D193" s="3"/>
      <c r="E193" s="3"/>
      <c r="F193" s="3"/>
      <c r="G193" s="93">
        <v>0</v>
      </c>
      <c r="H193" s="9"/>
      <c r="I193" s="93">
        <v>0</v>
      </c>
      <c r="J193" s="13"/>
      <c r="K193" s="112">
        <f t="shared" si="40"/>
        <v>0</v>
      </c>
      <c r="L193" s="59">
        <v>63778</v>
      </c>
      <c r="M193" s="77"/>
      <c r="N193" s="59"/>
      <c r="O193" s="69"/>
      <c r="P193" s="81"/>
      <c r="Q193" s="81"/>
      <c r="R193" s="100">
        <f t="shared" si="37"/>
        <v>63778</v>
      </c>
      <c r="S193" s="8"/>
      <c r="T193" s="25"/>
      <c r="U193" s="112">
        <f t="shared" si="38"/>
        <v>63778</v>
      </c>
      <c r="V193" s="59">
        <v>0</v>
      </c>
      <c r="W193" s="59"/>
      <c r="X193" s="93"/>
      <c r="Y193" s="69"/>
      <c r="Z193" s="77">
        <f t="shared" si="39"/>
        <v>0</v>
      </c>
      <c r="AA193" s="100">
        <f t="shared" si="43"/>
        <v>0</v>
      </c>
      <c r="AB193" s="93"/>
      <c r="AC193" s="107"/>
      <c r="AD193" s="128">
        <f t="shared" si="44"/>
        <v>63778</v>
      </c>
    </row>
    <row r="194" spans="1:30" x14ac:dyDescent="0.15">
      <c r="A194" s="24"/>
      <c r="B194" s="3" t="s">
        <v>45</v>
      </c>
      <c r="C194" s="3"/>
      <c r="D194" s="3"/>
      <c r="E194" s="3"/>
      <c r="F194" s="3"/>
      <c r="G194" s="93">
        <v>4073032</v>
      </c>
      <c r="H194" s="9"/>
      <c r="I194" s="93">
        <v>4073032</v>
      </c>
      <c r="J194" s="13"/>
      <c r="K194" s="112">
        <f t="shared" si="40"/>
        <v>4073032</v>
      </c>
      <c r="L194" s="59">
        <f>SUM(L195:L199)</f>
        <v>717431</v>
      </c>
      <c r="M194" s="77">
        <v>7020</v>
      </c>
      <c r="N194" s="59">
        <f>SUM(N195:N199)</f>
        <v>70000</v>
      </c>
      <c r="O194" s="69">
        <v>0</v>
      </c>
      <c r="P194" s="81">
        <v>0</v>
      </c>
      <c r="Q194" s="81">
        <v>32</v>
      </c>
      <c r="R194" s="100">
        <f t="shared" si="37"/>
        <v>794483</v>
      </c>
      <c r="S194" s="8"/>
      <c r="T194" s="107">
        <v>-173258</v>
      </c>
      <c r="U194" s="112">
        <f t="shared" si="38"/>
        <v>4694257</v>
      </c>
      <c r="V194" s="59">
        <v>206889</v>
      </c>
      <c r="W194" s="59">
        <v>0</v>
      </c>
      <c r="X194" s="93">
        <v>0</v>
      </c>
      <c r="Y194" s="69"/>
      <c r="Z194" s="77">
        <f t="shared" si="39"/>
        <v>0</v>
      </c>
      <c r="AA194" s="100">
        <f t="shared" si="43"/>
        <v>206889</v>
      </c>
      <c r="AB194" s="93"/>
      <c r="AC194" s="107"/>
      <c r="AD194" s="128">
        <f t="shared" si="44"/>
        <v>4901146</v>
      </c>
    </row>
    <row r="195" spans="1:30" x14ac:dyDescent="0.15">
      <c r="A195" s="24"/>
      <c r="B195" s="3"/>
      <c r="C195" s="3" t="s">
        <v>126</v>
      </c>
      <c r="D195" s="3"/>
      <c r="E195" s="3"/>
      <c r="F195" s="3"/>
      <c r="G195" s="93">
        <v>2098148</v>
      </c>
      <c r="H195" s="9"/>
      <c r="I195" s="93">
        <v>2098148</v>
      </c>
      <c r="J195" s="13"/>
      <c r="K195" s="112">
        <f t="shared" si="40"/>
        <v>2098148</v>
      </c>
      <c r="L195" s="59">
        <v>520942</v>
      </c>
      <c r="M195" s="77">
        <v>7020</v>
      </c>
      <c r="N195" s="59"/>
      <c r="O195" s="69"/>
      <c r="P195" s="81"/>
      <c r="Q195" s="81"/>
      <c r="R195" s="100">
        <f t="shared" si="37"/>
        <v>527962</v>
      </c>
      <c r="S195" s="93"/>
      <c r="T195" s="107">
        <v>-173258</v>
      </c>
      <c r="U195" s="112">
        <f t="shared" si="38"/>
        <v>2452852</v>
      </c>
      <c r="V195" s="59">
        <v>0</v>
      </c>
      <c r="W195" s="59"/>
      <c r="X195" s="93"/>
      <c r="Y195" s="69"/>
      <c r="Z195" s="77">
        <f t="shared" si="39"/>
        <v>0</v>
      </c>
      <c r="AA195" s="100">
        <f t="shared" si="43"/>
        <v>0</v>
      </c>
      <c r="AB195" s="93"/>
      <c r="AC195" s="107"/>
      <c r="AD195" s="128">
        <f t="shared" si="44"/>
        <v>2452852</v>
      </c>
    </row>
    <row r="196" spans="1:30" x14ac:dyDescent="0.15">
      <c r="A196" s="24"/>
      <c r="B196" s="3"/>
      <c r="C196" s="3" t="s">
        <v>127</v>
      </c>
      <c r="D196" s="3"/>
      <c r="E196" s="3"/>
      <c r="F196" s="3"/>
      <c r="G196" s="93">
        <v>117499</v>
      </c>
      <c r="H196" s="9"/>
      <c r="I196" s="93">
        <v>117499</v>
      </c>
      <c r="J196" s="13"/>
      <c r="K196" s="112">
        <f t="shared" si="40"/>
        <v>117499</v>
      </c>
      <c r="L196" s="59">
        <v>0</v>
      </c>
      <c r="M196" s="77"/>
      <c r="N196" s="59">
        <v>70000</v>
      </c>
      <c r="O196" s="69"/>
      <c r="P196" s="81"/>
      <c r="Q196" s="81"/>
      <c r="R196" s="100">
        <f t="shared" si="37"/>
        <v>70000</v>
      </c>
      <c r="S196" s="8"/>
      <c r="T196" s="25"/>
      <c r="U196" s="112">
        <f t="shared" si="38"/>
        <v>187499</v>
      </c>
      <c r="V196" s="59">
        <v>206889</v>
      </c>
      <c r="W196" s="59"/>
      <c r="X196" s="93"/>
      <c r="Y196" s="69"/>
      <c r="Z196" s="77">
        <f t="shared" si="39"/>
        <v>0</v>
      </c>
      <c r="AA196" s="100">
        <f t="shared" si="43"/>
        <v>206889</v>
      </c>
      <c r="AB196" s="93"/>
      <c r="AC196" s="107"/>
      <c r="AD196" s="128">
        <f t="shared" si="44"/>
        <v>394388</v>
      </c>
    </row>
    <row r="197" spans="1:30" x14ac:dyDescent="0.15">
      <c r="A197" s="24"/>
      <c r="B197" s="3"/>
      <c r="C197" s="3" t="s">
        <v>46</v>
      </c>
      <c r="D197" s="3"/>
      <c r="E197" s="3"/>
      <c r="F197" s="3"/>
      <c r="G197" s="93">
        <v>1808947</v>
      </c>
      <c r="H197" s="9"/>
      <c r="I197" s="93">
        <v>1808947</v>
      </c>
      <c r="J197" s="13"/>
      <c r="K197" s="112">
        <f t="shared" si="40"/>
        <v>1808947</v>
      </c>
      <c r="L197" s="59">
        <v>0</v>
      </c>
      <c r="M197" s="77"/>
      <c r="N197" s="59"/>
      <c r="O197" s="69"/>
      <c r="P197" s="81"/>
      <c r="Q197" s="81"/>
      <c r="R197" s="100">
        <f t="shared" si="37"/>
        <v>0</v>
      </c>
      <c r="S197" s="8"/>
      <c r="T197" s="25"/>
      <c r="U197" s="112">
        <f t="shared" si="38"/>
        <v>1808947</v>
      </c>
      <c r="V197" s="59">
        <v>0</v>
      </c>
      <c r="W197" s="59"/>
      <c r="X197" s="93"/>
      <c r="Y197" s="69"/>
      <c r="Z197" s="77">
        <f t="shared" si="39"/>
        <v>0</v>
      </c>
      <c r="AA197" s="100">
        <f t="shared" si="43"/>
        <v>0</v>
      </c>
      <c r="AB197" s="93"/>
      <c r="AC197" s="107"/>
      <c r="AD197" s="128">
        <f t="shared" si="44"/>
        <v>1808947</v>
      </c>
    </row>
    <row r="198" spans="1:30" x14ac:dyDescent="0.15">
      <c r="A198" s="24"/>
      <c r="B198" s="3"/>
      <c r="C198" s="3" t="s">
        <v>47</v>
      </c>
      <c r="D198" s="3"/>
      <c r="E198" s="3"/>
      <c r="F198" s="3"/>
      <c r="G198" s="93">
        <v>48438</v>
      </c>
      <c r="H198" s="9"/>
      <c r="I198" s="93">
        <v>48438</v>
      </c>
      <c r="J198" s="13"/>
      <c r="K198" s="112">
        <f t="shared" si="40"/>
        <v>48438</v>
      </c>
      <c r="L198" s="59">
        <v>0</v>
      </c>
      <c r="M198" s="77"/>
      <c r="N198" s="59"/>
      <c r="O198" s="69"/>
      <c r="P198" s="81"/>
      <c r="Q198" s="81"/>
      <c r="R198" s="100">
        <f t="shared" si="37"/>
        <v>0</v>
      </c>
      <c r="S198" s="8"/>
      <c r="T198" s="25"/>
      <c r="U198" s="112">
        <f t="shared" si="38"/>
        <v>48438</v>
      </c>
      <c r="V198" s="59">
        <v>0</v>
      </c>
      <c r="W198" s="59"/>
      <c r="X198" s="93"/>
      <c r="Y198" s="69"/>
      <c r="Z198" s="77">
        <f t="shared" si="39"/>
        <v>0</v>
      </c>
      <c r="AA198" s="100">
        <f t="shared" si="43"/>
        <v>0</v>
      </c>
      <c r="AB198" s="93"/>
      <c r="AC198" s="107"/>
      <c r="AD198" s="128">
        <f t="shared" si="44"/>
        <v>48438</v>
      </c>
    </row>
    <row r="199" spans="1:30" x14ac:dyDescent="0.15">
      <c r="A199" s="31"/>
      <c r="B199" s="2"/>
      <c r="C199" s="2" t="s">
        <v>123</v>
      </c>
      <c r="D199" s="2"/>
      <c r="E199" s="2"/>
      <c r="F199" s="2"/>
      <c r="G199" s="95"/>
      <c r="H199" s="33"/>
      <c r="I199" s="95"/>
      <c r="J199" s="34"/>
      <c r="K199" s="114">
        <f t="shared" si="40"/>
        <v>0</v>
      </c>
      <c r="L199" s="63">
        <v>196489</v>
      </c>
      <c r="M199" s="79"/>
      <c r="N199" s="63"/>
      <c r="O199" s="71"/>
      <c r="P199" s="84"/>
      <c r="Q199" s="84">
        <v>32</v>
      </c>
      <c r="R199" s="102">
        <f t="shared" si="37"/>
        <v>196521</v>
      </c>
      <c r="S199" s="32"/>
      <c r="T199" s="36"/>
      <c r="U199" s="114">
        <f t="shared" si="38"/>
        <v>196521</v>
      </c>
      <c r="V199" s="63">
        <v>0</v>
      </c>
      <c r="W199" s="63"/>
      <c r="X199" s="95"/>
      <c r="Y199" s="71"/>
      <c r="Z199" s="79">
        <f t="shared" si="39"/>
        <v>0</v>
      </c>
      <c r="AA199" s="102">
        <f t="shared" si="43"/>
        <v>0</v>
      </c>
      <c r="AB199" s="95"/>
      <c r="AC199" s="109"/>
      <c r="AD199" s="133">
        <f t="shared" si="44"/>
        <v>196521</v>
      </c>
    </row>
    <row r="200" spans="1:30" x14ac:dyDescent="0.15">
      <c r="A200" s="37" t="s">
        <v>51</v>
      </c>
      <c r="B200" s="22"/>
      <c r="C200" s="22"/>
      <c r="D200" s="22"/>
      <c r="E200" s="22"/>
      <c r="F200" s="22"/>
      <c r="G200" s="92">
        <v>2122307</v>
      </c>
      <c r="H200" s="7"/>
      <c r="I200" s="92">
        <v>2122307</v>
      </c>
      <c r="J200" s="12"/>
      <c r="K200" s="115">
        <f t="shared" si="40"/>
        <v>2122307</v>
      </c>
      <c r="L200" s="61">
        <f>L204-L201</f>
        <v>-39576</v>
      </c>
      <c r="M200" s="76">
        <f>M204-M201</f>
        <v>-162230</v>
      </c>
      <c r="N200" s="61"/>
      <c r="O200" s="70"/>
      <c r="P200" s="85">
        <f>P204-P201</f>
        <v>-236117</v>
      </c>
      <c r="Q200" s="85">
        <f>Q204-Q201</f>
        <v>10000</v>
      </c>
      <c r="R200" s="103">
        <f t="shared" si="37"/>
        <v>-427923</v>
      </c>
      <c r="S200" s="6"/>
      <c r="T200" s="119">
        <v>-428544</v>
      </c>
      <c r="U200" s="115">
        <f t="shared" si="38"/>
        <v>1265840</v>
      </c>
      <c r="V200" s="61">
        <v>0</v>
      </c>
      <c r="W200" s="61">
        <v>-25000</v>
      </c>
      <c r="X200" s="92">
        <v>-14798</v>
      </c>
      <c r="Y200" s="70">
        <v>-134</v>
      </c>
      <c r="Z200" s="76">
        <f t="shared" si="39"/>
        <v>-14932</v>
      </c>
      <c r="AA200" s="103">
        <f t="shared" si="43"/>
        <v>-39932</v>
      </c>
      <c r="AB200" s="92"/>
      <c r="AC200" s="119"/>
      <c r="AD200" s="126">
        <f t="shared" si="44"/>
        <v>1225908</v>
      </c>
    </row>
    <row r="201" spans="1:30" x14ac:dyDescent="0.15">
      <c r="A201" s="24"/>
      <c r="B201" s="3" t="s">
        <v>49</v>
      </c>
      <c r="C201" s="3"/>
      <c r="D201" s="3"/>
      <c r="E201" s="3"/>
      <c r="F201" s="3"/>
      <c r="G201" s="93">
        <v>3895990</v>
      </c>
      <c r="H201" s="9"/>
      <c r="I201" s="93">
        <v>3895990</v>
      </c>
      <c r="J201" s="13"/>
      <c r="K201" s="112">
        <f t="shared" si="40"/>
        <v>3895990</v>
      </c>
      <c r="L201" s="59">
        <v>2164689</v>
      </c>
      <c r="M201" s="77">
        <v>590774</v>
      </c>
      <c r="N201" s="59"/>
      <c r="O201" s="69"/>
      <c r="P201" s="81">
        <v>236117</v>
      </c>
      <c r="Q201" s="81">
        <v>43484</v>
      </c>
      <c r="R201" s="100">
        <f t="shared" si="37"/>
        <v>3035064</v>
      </c>
      <c r="S201" s="8"/>
      <c r="T201" s="25"/>
      <c r="U201" s="112">
        <f t="shared" si="38"/>
        <v>6931054</v>
      </c>
      <c r="V201" s="59">
        <v>0</v>
      </c>
      <c r="W201" s="59">
        <v>25000</v>
      </c>
      <c r="X201" s="93">
        <v>14798</v>
      </c>
      <c r="Y201" s="69">
        <v>134</v>
      </c>
      <c r="Z201" s="77">
        <f t="shared" si="39"/>
        <v>14932</v>
      </c>
      <c r="AA201" s="100">
        <f t="shared" si="43"/>
        <v>39932</v>
      </c>
      <c r="AB201" s="93"/>
      <c r="AC201" s="107"/>
      <c r="AD201" s="128">
        <f t="shared" si="44"/>
        <v>6970986</v>
      </c>
    </row>
    <row r="202" spans="1:30" x14ac:dyDescent="0.15">
      <c r="A202" s="24"/>
      <c r="B202" s="3"/>
      <c r="C202" s="3" t="s">
        <v>61</v>
      </c>
      <c r="D202" s="3"/>
      <c r="E202" s="3"/>
      <c r="F202" s="3"/>
      <c r="G202" s="93">
        <v>3895990</v>
      </c>
      <c r="H202" s="9"/>
      <c r="I202" s="93">
        <v>3895990</v>
      </c>
      <c r="J202" s="13"/>
      <c r="K202" s="112">
        <f t="shared" si="40"/>
        <v>3895990</v>
      </c>
      <c r="L202" s="59">
        <v>2164689</v>
      </c>
      <c r="M202" s="77">
        <v>582816</v>
      </c>
      <c r="N202" s="59"/>
      <c r="O202" s="69"/>
      <c r="P202" s="81">
        <v>0</v>
      </c>
      <c r="Q202" s="81">
        <v>43484</v>
      </c>
      <c r="R202" s="100">
        <f t="shared" si="37"/>
        <v>2790989</v>
      </c>
      <c r="S202" s="8"/>
      <c r="T202" s="25"/>
      <c r="U202" s="112">
        <f t="shared" si="38"/>
        <v>6686979</v>
      </c>
      <c r="V202" s="59"/>
      <c r="W202" s="59">
        <v>25000</v>
      </c>
      <c r="X202" s="93">
        <v>0</v>
      </c>
      <c r="Y202" s="69"/>
      <c r="Z202" s="77">
        <f t="shared" si="39"/>
        <v>0</v>
      </c>
      <c r="AA202" s="100">
        <f t="shared" si="43"/>
        <v>25000</v>
      </c>
      <c r="AB202" s="93"/>
      <c r="AC202" s="107"/>
      <c r="AD202" s="128">
        <f t="shared" si="44"/>
        <v>6711979</v>
      </c>
    </row>
    <row r="203" spans="1:30" x14ac:dyDescent="0.15">
      <c r="A203" s="24"/>
      <c r="B203" s="3"/>
      <c r="C203" s="3" t="s">
        <v>117</v>
      </c>
      <c r="D203" s="3"/>
      <c r="E203" s="3"/>
      <c r="F203" s="3"/>
      <c r="G203" s="93"/>
      <c r="H203" s="9"/>
      <c r="I203" s="93"/>
      <c r="J203" s="13"/>
      <c r="K203" s="112">
        <f t="shared" si="40"/>
        <v>0</v>
      </c>
      <c r="L203" s="59">
        <v>0</v>
      </c>
      <c r="M203" s="77">
        <v>7958</v>
      </c>
      <c r="N203" s="59"/>
      <c r="O203" s="69"/>
      <c r="P203" s="81">
        <v>236117</v>
      </c>
      <c r="Q203" s="81">
        <v>0</v>
      </c>
      <c r="R203" s="100">
        <f t="shared" si="37"/>
        <v>244075</v>
      </c>
      <c r="S203" s="8"/>
      <c r="T203" s="25"/>
      <c r="U203" s="112">
        <f t="shared" si="38"/>
        <v>244075</v>
      </c>
      <c r="V203" s="59"/>
      <c r="W203" s="59"/>
      <c r="X203" s="93">
        <v>14798</v>
      </c>
      <c r="Y203" s="69">
        <v>134</v>
      </c>
      <c r="Z203" s="77">
        <f t="shared" si="39"/>
        <v>14932</v>
      </c>
      <c r="AA203" s="100">
        <f t="shared" si="43"/>
        <v>14932</v>
      </c>
      <c r="AB203" s="93"/>
      <c r="AC203" s="107"/>
      <c r="AD203" s="128">
        <f t="shared" si="44"/>
        <v>259007</v>
      </c>
    </row>
    <row r="204" spans="1:30" x14ac:dyDescent="0.15">
      <c r="A204" s="24"/>
      <c r="B204" s="3" t="s">
        <v>50</v>
      </c>
      <c r="C204" s="3"/>
      <c r="D204" s="3"/>
      <c r="E204" s="3"/>
      <c r="F204" s="3"/>
      <c r="G204" s="93">
        <v>6018297</v>
      </c>
      <c r="H204" s="9"/>
      <c r="I204" s="93">
        <v>6018297</v>
      </c>
      <c r="J204" s="13"/>
      <c r="K204" s="112">
        <f t="shared" si="40"/>
        <v>6018297</v>
      </c>
      <c r="L204" s="59">
        <v>2125113</v>
      </c>
      <c r="M204" s="77">
        <v>428544</v>
      </c>
      <c r="N204" s="59"/>
      <c r="O204" s="69"/>
      <c r="P204" s="81">
        <v>0</v>
      </c>
      <c r="Q204" s="81">
        <v>53484</v>
      </c>
      <c r="R204" s="100">
        <f t="shared" si="37"/>
        <v>2607141</v>
      </c>
      <c r="S204" s="8"/>
      <c r="T204" s="107">
        <v>-428544</v>
      </c>
      <c r="U204" s="112">
        <f t="shared" si="38"/>
        <v>8196894</v>
      </c>
      <c r="V204" s="59">
        <v>0</v>
      </c>
      <c r="W204" s="59">
        <v>0</v>
      </c>
      <c r="X204" s="93">
        <v>0</v>
      </c>
      <c r="Y204" s="69"/>
      <c r="Z204" s="77">
        <f t="shared" si="39"/>
        <v>0</v>
      </c>
      <c r="AA204" s="100">
        <f t="shared" si="43"/>
        <v>0</v>
      </c>
      <c r="AB204" s="93"/>
      <c r="AC204" s="107"/>
      <c r="AD204" s="128">
        <f t="shared" si="44"/>
        <v>8196894</v>
      </c>
    </row>
    <row r="205" spans="1:30" x14ac:dyDescent="0.15">
      <c r="A205" s="24"/>
      <c r="B205" s="3"/>
      <c r="C205" s="3" t="s">
        <v>62</v>
      </c>
      <c r="D205" s="3"/>
      <c r="E205" s="3"/>
      <c r="F205" s="3"/>
      <c r="G205" s="93">
        <v>6018297</v>
      </c>
      <c r="H205" s="9"/>
      <c r="I205" s="93">
        <v>6018297</v>
      </c>
      <c r="J205" s="13"/>
      <c r="K205" s="112">
        <f t="shared" si="40"/>
        <v>6018297</v>
      </c>
      <c r="L205" s="59">
        <v>1912300</v>
      </c>
      <c r="M205" s="77">
        <v>0</v>
      </c>
      <c r="N205" s="59"/>
      <c r="O205" s="69"/>
      <c r="P205" s="81">
        <v>0</v>
      </c>
      <c r="Q205" s="81">
        <v>10000</v>
      </c>
      <c r="R205" s="100">
        <f t="shared" si="37"/>
        <v>1922300</v>
      </c>
      <c r="S205" s="8"/>
      <c r="T205" s="25"/>
      <c r="U205" s="112">
        <f t="shared" si="38"/>
        <v>7940597</v>
      </c>
      <c r="V205" s="59"/>
      <c r="W205" s="59"/>
      <c r="X205" s="93">
        <v>0</v>
      </c>
      <c r="Y205" s="69"/>
      <c r="Z205" s="77">
        <f t="shared" si="39"/>
        <v>0</v>
      </c>
      <c r="AA205" s="100">
        <f t="shared" si="43"/>
        <v>0</v>
      </c>
      <c r="AB205" s="93"/>
      <c r="AC205" s="107"/>
      <c r="AD205" s="128">
        <f t="shared" si="44"/>
        <v>7940597</v>
      </c>
    </row>
    <row r="206" spans="1:30" x14ac:dyDescent="0.15">
      <c r="A206" s="31"/>
      <c r="B206" s="2"/>
      <c r="C206" s="2" t="s">
        <v>123</v>
      </c>
      <c r="D206" s="2"/>
      <c r="E206" s="2"/>
      <c r="F206" s="2"/>
      <c r="G206" s="95"/>
      <c r="H206" s="33"/>
      <c r="I206" s="95"/>
      <c r="J206" s="34"/>
      <c r="K206" s="114">
        <f t="shared" si="40"/>
        <v>0</v>
      </c>
      <c r="L206" s="63">
        <v>212813</v>
      </c>
      <c r="M206" s="79">
        <v>428544</v>
      </c>
      <c r="N206" s="63"/>
      <c r="O206" s="71"/>
      <c r="P206" s="84">
        <v>0</v>
      </c>
      <c r="Q206" s="84">
        <v>43484</v>
      </c>
      <c r="R206" s="102">
        <f t="shared" si="37"/>
        <v>684841</v>
      </c>
      <c r="S206" s="32"/>
      <c r="T206" s="109">
        <v>-428544</v>
      </c>
      <c r="U206" s="114">
        <f t="shared" si="38"/>
        <v>256297</v>
      </c>
      <c r="V206" s="63"/>
      <c r="W206" s="63"/>
      <c r="X206" s="95">
        <v>0</v>
      </c>
      <c r="Y206" s="71"/>
      <c r="Z206" s="79">
        <f t="shared" si="39"/>
        <v>0</v>
      </c>
      <c r="AA206" s="102">
        <f t="shared" si="43"/>
        <v>0</v>
      </c>
      <c r="AB206" s="95"/>
      <c r="AC206" s="109"/>
      <c r="AD206" s="133">
        <f t="shared" si="44"/>
        <v>256297</v>
      </c>
    </row>
    <row r="207" spans="1:30" x14ac:dyDescent="0.15">
      <c r="A207" s="37" t="s">
        <v>52</v>
      </c>
      <c r="B207" s="22"/>
      <c r="C207" s="22"/>
      <c r="D207" s="22"/>
      <c r="E207" s="22"/>
      <c r="F207" s="22"/>
      <c r="G207" s="92">
        <f>G166+G187+G200</f>
        <v>-65005</v>
      </c>
      <c r="H207" s="7"/>
      <c r="I207" s="92">
        <f>I166+I187+I200</f>
        <v>-65005</v>
      </c>
      <c r="J207" s="12"/>
      <c r="K207" s="115">
        <f>K166+K187+K200</f>
        <v>-65005</v>
      </c>
      <c r="L207" s="61">
        <f>L166+L187+L200</f>
        <v>316324</v>
      </c>
      <c r="M207" s="76">
        <f t="shared" ref="M207:U207" si="52">M166+M187+M200</f>
        <v>-1530257</v>
      </c>
      <c r="N207" s="61">
        <f t="shared" si="52"/>
        <v>33827.042999999772</v>
      </c>
      <c r="O207" s="61">
        <f t="shared" si="52"/>
        <v>528</v>
      </c>
      <c r="P207" s="85">
        <f t="shared" si="52"/>
        <v>164379</v>
      </c>
      <c r="Q207" s="85">
        <f t="shared" si="52"/>
        <v>0</v>
      </c>
      <c r="R207" s="103">
        <f t="shared" si="52"/>
        <v>-1015198.9570000004</v>
      </c>
      <c r="S207" s="6"/>
      <c r="T207" s="119">
        <f>T166+T187+T200</f>
        <v>0</v>
      </c>
      <c r="U207" s="115">
        <f t="shared" si="52"/>
        <v>-1080203.9570000004</v>
      </c>
      <c r="V207" s="61">
        <f>V166+V187+V200</f>
        <v>853426</v>
      </c>
      <c r="W207" s="61">
        <f>W166+W187+W200</f>
        <v>-1247</v>
      </c>
      <c r="X207" s="153">
        <f>X166+X187+X200</f>
        <v>15709</v>
      </c>
      <c r="Y207" s="61">
        <f>Y166+Y187+Y200</f>
        <v>10539</v>
      </c>
      <c r="Z207" s="76">
        <f>SUM(X207:Y207)</f>
        <v>26248</v>
      </c>
      <c r="AA207" s="103">
        <f>AA166+AA187+AA200</f>
        <v>878427</v>
      </c>
      <c r="AB207" s="92"/>
      <c r="AC207" s="119"/>
      <c r="AD207" s="126">
        <f>AD166+AD187+AD200</f>
        <v>-201776.9570000004</v>
      </c>
    </row>
    <row r="208" spans="1:30" x14ac:dyDescent="0.15">
      <c r="A208" s="24" t="s">
        <v>53</v>
      </c>
      <c r="B208" s="3"/>
      <c r="C208" s="3"/>
      <c r="D208" s="3"/>
      <c r="E208" s="3"/>
      <c r="F208" s="3"/>
      <c r="G208" s="93">
        <v>2849624</v>
      </c>
      <c r="H208" s="9"/>
      <c r="I208" s="93">
        <v>2849624</v>
      </c>
      <c r="J208" s="13"/>
      <c r="K208" s="112">
        <f t="shared" si="40"/>
        <v>2849624</v>
      </c>
      <c r="L208" s="59">
        <v>1150311</v>
      </c>
      <c r="M208" s="77">
        <v>5197763</v>
      </c>
      <c r="N208" s="59">
        <v>628451.19999999995</v>
      </c>
      <c r="O208" s="69">
        <v>7015</v>
      </c>
      <c r="P208" s="81">
        <v>270232</v>
      </c>
      <c r="Q208" s="81">
        <v>0</v>
      </c>
      <c r="R208" s="100">
        <f t="shared" si="37"/>
        <v>7253772.2000000002</v>
      </c>
      <c r="S208" s="8"/>
      <c r="T208" s="25"/>
      <c r="U208" s="112">
        <f t="shared" si="38"/>
        <v>10103396.199999999</v>
      </c>
      <c r="V208" s="59">
        <v>273574</v>
      </c>
      <c r="W208" s="59">
        <v>16868</v>
      </c>
      <c r="X208" s="93">
        <v>213595</v>
      </c>
      <c r="Y208" s="69">
        <v>227464</v>
      </c>
      <c r="Z208" s="77">
        <f t="shared" si="39"/>
        <v>441059</v>
      </c>
      <c r="AA208" s="100">
        <f t="shared" si="43"/>
        <v>731501</v>
      </c>
      <c r="AB208" s="93"/>
      <c r="AC208" s="107"/>
      <c r="AD208" s="128">
        <f>U208+AA208+AB208+AC208</f>
        <v>10834897.199999999</v>
      </c>
    </row>
    <row r="209" spans="1:31" x14ac:dyDescent="0.15">
      <c r="A209" s="31" t="s">
        <v>54</v>
      </c>
      <c r="B209" s="2"/>
      <c r="C209" s="2"/>
      <c r="D209" s="2"/>
      <c r="E209" s="2"/>
      <c r="F209" s="2"/>
      <c r="G209" s="95">
        <v>2784619</v>
      </c>
      <c r="H209" s="33"/>
      <c r="I209" s="95">
        <v>2784619</v>
      </c>
      <c r="J209" s="34"/>
      <c r="K209" s="114">
        <f t="shared" si="40"/>
        <v>2784619</v>
      </c>
      <c r="L209" s="63">
        <v>1466635</v>
      </c>
      <c r="M209" s="79">
        <v>3667506</v>
      </c>
      <c r="N209" s="63">
        <v>662277.27099999995</v>
      </c>
      <c r="O209" s="71">
        <v>7543</v>
      </c>
      <c r="P209" s="84">
        <v>434611</v>
      </c>
      <c r="Q209" s="84">
        <v>0</v>
      </c>
      <c r="R209" s="102">
        <f t="shared" si="37"/>
        <v>6238572.2709999997</v>
      </c>
      <c r="S209" s="32"/>
      <c r="T209" s="36"/>
      <c r="U209" s="114">
        <f t="shared" si="38"/>
        <v>9023191.2709999997</v>
      </c>
      <c r="V209" s="63">
        <v>1127000</v>
      </c>
      <c r="W209" s="63">
        <v>15621</v>
      </c>
      <c r="X209" s="95">
        <v>229304</v>
      </c>
      <c r="Y209" s="71">
        <v>238003</v>
      </c>
      <c r="Z209" s="79">
        <f t="shared" si="39"/>
        <v>467307</v>
      </c>
      <c r="AA209" s="102">
        <f t="shared" si="43"/>
        <v>1609928</v>
      </c>
      <c r="AB209" s="95"/>
      <c r="AC209" s="109"/>
      <c r="AD209" s="133">
        <f>U209+AA209+AB209+AC209</f>
        <v>10633119.271</v>
      </c>
    </row>
    <row r="210" spans="1:31" x14ac:dyDescent="0.15">
      <c r="A210" s="37" t="s">
        <v>55</v>
      </c>
      <c r="B210" s="22"/>
      <c r="C210" s="22"/>
      <c r="D210" s="22"/>
      <c r="E210" s="22"/>
      <c r="F210" s="22"/>
      <c r="G210" s="6"/>
      <c r="H210" s="7"/>
      <c r="I210" s="6"/>
      <c r="J210" s="12"/>
      <c r="K210" s="115">
        <f t="shared" si="40"/>
        <v>0</v>
      </c>
      <c r="L210" s="158"/>
      <c r="M210" s="143"/>
      <c r="N210" s="140"/>
      <c r="O210" s="142"/>
      <c r="P210" s="159"/>
      <c r="Q210" s="159"/>
      <c r="R210" s="160"/>
      <c r="S210" s="6"/>
      <c r="T210" s="23"/>
      <c r="U210" s="115">
        <f t="shared" si="38"/>
        <v>0</v>
      </c>
      <c r="V210" s="141"/>
      <c r="W210" s="140"/>
      <c r="X210" s="141"/>
      <c r="Y210" s="142"/>
      <c r="Z210" s="143"/>
      <c r="AA210" s="143"/>
      <c r="AB210" s="92"/>
      <c r="AC210" s="119"/>
      <c r="AD210" s="126">
        <f t="shared" si="44"/>
        <v>0</v>
      </c>
    </row>
    <row r="211" spans="1:31" x14ac:dyDescent="0.15">
      <c r="A211" s="24" t="s">
        <v>128</v>
      </c>
      <c r="B211" s="3"/>
      <c r="C211" s="3"/>
      <c r="D211" s="3"/>
      <c r="E211" s="3"/>
      <c r="F211" s="3"/>
      <c r="G211" s="8"/>
      <c r="H211" s="9"/>
      <c r="I211" s="8"/>
      <c r="J211" s="13"/>
      <c r="K211" s="112">
        <f t="shared" si="40"/>
        <v>0</v>
      </c>
      <c r="L211" s="161"/>
      <c r="M211" s="147"/>
      <c r="N211" s="144"/>
      <c r="O211" s="146"/>
      <c r="P211" s="162"/>
      <c r="Q211" s="162"/>
      <c r="R211" s="163"/>
      <c r="S211" s="8"/>
      <c r="T211" s="25"/>
      <c r="U211" s="112">
        <f t="shared" si="38"/>
        <v>0</v>
      </c>
      <c r="V211" s="145"/>
      <c r="W211" s="144"/>
      <c r="X211" s="145"/>
      <c r="Y211" s="146"/>
      <c r="Z211" s="147"/>
      <c r="AA211" s="147"/>
      <c r="AB211" s="93"/>
      <c r="AC211" s="107"/>
      <c r="AD211" s="128">
        <f t="shared" si="44"/>
        <v>0</v>
      </c>
    </row>
    <row r="212" spans="1:31" x14ac:dyDescent="0.15">
      <c r="A212" s="24" t="s">
        <v>56</v>
      </c>
      <c r="B212" s="3"/>
      <c r="C212" s="3"/>
      <c r="D212" s="3"/>
      <c r="E212" s="3"/>
      <c r="F212" s="3"/>
      <c r="G212" s="93">
        <v>190506</v>
      </c>
      <c r="H212" s="9"/>
      <c r="I212" s="157">
        <f>G212</f>
        <v>190506</v>
      </c>
      <c r="J212" s="13"/>
      <c r="K212" s="112">
        <f>I212+J212</f>
        <v>190506</v>
      </c>
      <c r="L212" s="161"/>
      <c r="M212" s="147"/>
      <c r="N212" s="144"/>
      <c r="O212" s="146"/>
      <c r="P212" s="162"/>
      <c r="Q212" s="162"/>
      <c r="R212" s="163"/>
      <c r="S212" s="8"/>
      <c r="T212" s="25"/>
      <c r="U212" s="112">
        <v>190506</v>
      </c>
      <c r="V212" s="145"/>
      <c r="W212" s="144"/>
      <c r="X212" s="145"/>
      <c r="Y212" s="146"/>
      <c r="Z212" s="147"/>
      <c r="AA212" s="147"/>
      <c r="AB212" s="93"/>
      <c r="AC212" s="107"/>
      <c r="AD212" s="128">
        <f t="shared" si="44"/>
        <v>190506</v>
      </c>
    </row>
    <row r="213" spans="1:31" ht="14.25" thickBot="1" x14ac:dyDescent="0.2">
      <c r="A213" s="38" t="s">
        <v>57</v>
      </c>
      <c r="B213" s="4"/>
      <c r="C213" s="4"/>
      <c r="D213" s="4"/>
      <c r="E213" s="4"/>
      <c r="F213" s="4"/>
      <c r="G213" s="122">
        <f>G209+G212</f>
        <v>2975125</v>
      </c>
      <c r="H213" s="40"/>
      <c r="I213" s="96">
        <f>G213</f>
        <v>2975125</v>
      </c>
      <c r="J213" s="41"/>
      <c r="K213" s="118">
        <f t="shared" si="40"/>
        <v>2975125</v>
      </c>
      <c r="L213" s="164"/>
      <c r="M213" s="151"/>
      <c r="N213" s="148"/>
      <c r="O213" s="150"/>
      <c r="P213" s="165"/>
      <c r="Q213" s="165"/>
      <c r="R213" s="166"/>
      <c r="S213" s="39"/>
      <c r="T213" s="42"/>
      <c r="U213" s="118">
        <f>U209+U212</f>
        <v>9213697.2709999997</v>
      </c>
      <c r="V213" s="149"/>
      <c r="W213" s="148"/>
      <c r="X213" s="149"/>
      <c r="Y213" s="150"/>
      <c r="Z213" s="151"/>
      <c r="AA213" s="151"/>
      <c r="AB213" s="96"/>
      <c r="AC213" s="152"/>
      <c r="AD213" s="135">
        <f>AD209+AD212</f>
        <v>10823625.271</v>
      </c>
    </row>
    <row r="214" spans="1:31" x14ac:dyDescent="0.15">
      <c r="A214" s="43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</row>
    <row r="215" spans="1:31" x14ac:dyDescent="0.15">
      <c r="A215" s="14"/>
      <c r="B215" s="14"/>
      <c r="C215" s="14"/>
      <c r="D215" s="14"/>
      <c r="E215" s="14"/>
      <c r="F215" s="14"/>
      <c r="G215" s="14"/>
    </row>
    <row r="216" spans="1:31" x14ac:dyDescent="0.15">
      <c r="G216" s="14"/>
    </row>
  </sheetData>
  <mergeCells count="105">
    <mergeCell ref="AA1:AD3"/>
    <mergeCell ref="A6:E9"/>
    <mergeCell ref="G6:K6"/>
    <mergeCell ref="L6:U6"/>
    <mergeCell ref="V6:AD6"/>
    <mergeCell ref="G7:G9"/>
    <mergeCell ref="H7:H9"/>
    <mergeCell ref="I7:I9"/>
    <mergeCell ref="J7:J9"/>
    <mergeCell ref="AA7:AA9"/>
    <mergeCell ref="AB7:AB9"/>
    <mergeCell ref="W8:W9"/>
    <mergeCell ref="Y8:Y9"/>
    <mergeCell ref="X8:X9"/>
    <mergeCell ref="K7:K9"/>
    <mergeCell ref="L7:Q7"/>
    <mergeCell ref="R7:R9"/>
    <mergeCell ref="S7:S9"/>
    <mergeCell ref="T7:T9"/>
    <mergeCell ref="U7:U9"/>
    <mergeCell ref="Z8:Z9"/>
    <mergeCell ref="I94:I96"/>
    <mergeCell ref="J94:J96"/>
    <mergeCell ref="A93:E96"/>
    <mergeCell ref="G93:K93"/>
    <mergeCell ref="L93:U93"/>
    <mergeCell ref="V93:AD93"/>
    <mergeCell ref="G94:G96"/>
    <mergeCell ref="H94:H96"/>
    <mergeCell ref="AC7:AC9"/>
    <mergeCell ref="AD7:AD9"/>
    <mergeCell ref="L8:M8"/>
    <mergeCell ref="N8:Q8"/>
    <mergeCell ref="V8:V9"/>
    <mergeCell ref="X7:Z7"/>
    <mergeCell ref="X94:Z94"/>
    <mergeCell ref="X95:X96"/>
    <mergeCell ref="Y95:Y96"/>
    <mergeCell ref="Z95:Z96"/>
    <mergeCell ref="K94:K96"/>
    <mergeCell ref="L94:Q94"/>
    <mergeCell ref="R94:R96"/>
    <mergeCell ref="S94:S96"/>
    <mergeCell ref="AA94:AA96"/>
    <mergeCell ref="AB94:AB96"/>
    <mergeCell ref="AC94:AC96"/>
    <mergeCell ref="AD94:AD96"/>
    <mergeCell ref="L95:M95"/>
    <mergeCell ref="N95:Q95"/>
    <mergeCell ref="V95:V96"/>
    <mergeCell ref="T94:T96"/>
    <mergeCell ref="U94:U96"/>
    <mergeCell ref="W95:W96"/>
    <mergeCell ref="T163:T165"/>
    <mergeCell ref="U163:U165"/>
    <mergeCell ref="AB139:AB141"/>
    <mergeCell ref="X140:X141"/>
    <mergeCell ref="X139:Z139"/>
    <mergeCell ref="A138:E141"/>
    <mergeCell ref="G138:K138"/>
    <mergeCell ref="L138:U138"/>
    <mergeCell ref="V138:AD138"/>
    <mergeCell ref="G139:G141"/>
    <mergeCell ref="H139:H141"/>
    <mergeCell ref="I139:I141"/>
    <mergeCell ref="J139:J141"/>
    <mergeCell ref="K139:K141"/>
    <mergeCell ref="L139:Q139"/>
    <mergeCell ref="L140:M140"/>
    <mergeCell ref="N140:Q140"/>
    <mergeCell ref="AD139:AD141"/>
    <mergeCell ref="Y140:Y141"/>
    <mergeCell ref="Z140:Z141"/>
    <mergeCell ref="R139:R141"/>
    <mergeCell ref="S139:S141"/>
    <mergeCell ref="T139:T141"/>
    <mergeCell ref="U139:U141"/>
    <mergeCell ref="V140:V141"/>
    <mergeCell ref="W140:W141"/>
    <mergeCell ref="AC139:AC141"/>
    <mergeCell ref="AA139:AA141"/>
    <mergeCell ref="A162:E165"/>
    <mergeCell ref="G162:K162"/>
    <mergeCell ref="L162:U162"/>
    <mergeCell ref="V162:AD162"/>
    <mergeCell ref="G163:G165"/>
    <mergeCell ref="H163:H165"/>
    <mergeCell ref="I163:I165"/>
    <mergeCell ref="J163:J165"/>
    <mergeCell ref="K163:K165"/>
    <mergeCell ref="Z164:Z165"/>
    <mergeCell ref="AD163:AD165"/>
    <mergeCell ref="L164:M164"/>
    <mergeCell ref="N164:Q164"/>
    <mergeCell ref="V164:V165"/>
    <mergeCell ref="AB163:AB165"/>
    <mergeCell ref="AC163:AC165"/>
    <mergeCell ref="L163:Q163"/>
    <mergeCell ref="R163:R165"/>
    <mergeCell ref="Y164:Y165"/>
    <mergeCell ref="W164:W165"/>
    <mergeCell ref="X163:Z163"/>
    <mergeCell ref="AA163:AA165"/>
    <mergeCell ref="X164:X165"/>
    <mergeCell ref="S163:S165"/>
  </mergeCells>
  <phoneticPr fontId="3"/>
  <pageMargins left="0.78740157480314965" right="0.78740157480314965" top="0.39370078740157483" bottom="0.39370078740157483" header="0.51181102362204722" footer="0.51181102362204722"/>
  <pageSetup paperSize="8" scale="60" fitToHeight="0" orientation="landscape" r:id="rId1"/>
  <headerFooter alignWithMargins="0"/>
  <rowBreaks count="2" manualBreakCount="2">
    <brk id="91" max="16383" man="1"/>
    <brk id="160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連結精算表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achimin</cp:lastModifiedBy>
  <cp:lastPrinted>2018-03-27T00:03:36Z</cp:lastPrinted>
  <dcterms:created xsi:type="dcterms:W3CDTF">2014-03-27T08:10:30Z</dcterms:created>
  <dcterms:modified xsi:type="dcterms:W3CDTF">2018-03-30T03:06:41Z</dcterms:modified>
</cp:coreProperties>
</file>